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ocuments\DOCUMENTS 2020\201920 Submissions\M05 November 2019\"/>
    </mc:Choice>
  </mc:AlternateContent>
  <workbookProtection workbookPassword="FB84" lockStructure="1"/>
  <bookViews>
    <workbookView xWindow="0" yWindow="0" windowWidth="23040" windowHeight="6888" firstSheet="12" activeTab="22"/>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'SC1'!$A$1:$E$68</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C51" i="317" l="1"/>
  <c r="F49" i="317"/>
  <c r="C36" i="251" l="1"/>
  <c r="C37" i="251"/>
  <c r="C38" i="251"/>
  <c r="C39" i="251"/>
  <c r="C40" i="251"/>
  <c r="C41" i="251"/>
  <c r="C42" i="251"/>
  <c r="C43" i="251"/>
  <c r="C44" i="251"/>
  <c r="C45" i="251"/>
  <c r="C35" i="251"/>
  <c r="B45" i="251"/>
  <c r="B36" i="251"/>
  <c r="B37" i="251"/>
  <c r="B38" i="251"/>
  <c r="B39" i="251"/>
  <c r="B40" i="251"/>
  <c r="B41" i="251"/>
  <c r="B42" i="251"/>
  <c r="B43" i="251"/>
  <c r="B44" i="251"/>
  <c r="B35" i="251"/>
  <c r="B24" i="251"/>
  <c r="C24" i="251"/>
  <c r="B25" i="251"/>
  <c r="C25" i="251"/>
  <c r="B26" i="251"/>
  <c r="C26" i="251"/>
  <c r="B27" i="251"/>
  <c r="C27" i="251"/>
  <c r="B28" i="251"/>
  <c r="C28" i="251"/>
  <c r="B29" i="251"/>
  <c r="C29" i="251"/>
  <c r="B30" i="251"/>
  <c r="C30" i="251"/>
  <c r="B31" i="251"/>
  <c r="C31" i="251"/>
  <c r="B32" i="251"/>
  <c r="C32" i="251"/>
  <c r="B33" i="251"/>
  <c r="C33" i="251"/>
  <c r="C23" i="251"/>
  <c r="B23" i="251"/>
  <c r="B7" i="251"/>
  <c r="C7" i="251"/>
  <c r="B8" i="251"/>
  <c r="C8" i="251"/>
  <c r="B9" i="251"/>
  <c r="C9" i="251"/>
  <c r="B10" i="251"/>
  <c r="C10" i="251"/>
  <c r="B11" i="251"/>
  <c r="C11" i="251"/>
  <c r="B12" i="251"/>
  <c r="C12" i="251"/>
  <c r="B13" i="251"/>
  <c r="C13" i="251"/>
  <c r="B14" i="251"/>
  <c r="C14" i="251"/>
  <c r="B15" i="251"/>
  <c r="C15" i="251"/>
  <c r="B16" i="251"/>
  <c r="C16" i="251"/>
  <c r="B17" i="251"/>
  <c r="C17" i="251"/>
  <c r="B18" i="251"/>
  <c r="C18" i="251"/>
  <c r="B19" i="251"/>
  <c r="C19" i="251"/>
  <c r="B20" i="251"/>
  <c r="C20" i="251"/>
  <c r="C6" i="251"/>
  <c r="B6" i="251"/>
  <c r="H27" i="182"/>
  <c r="H39" i="182"/>
  <c r="H225" i="330"/>
  <c r="H81" i="330"/>
  <c r="H82" i="330"/>
  <c r="H64" i="330"/>
  <c r="H16" i="330"/>
  <c r="H17" i="330"/>
  <c r="H18" i="330"/>
  <c r="H19" i="330"/>
  <c r="H20" i="330"/>
  <c r="H21" i="330"/>
  <c r="H22" i="330"/>
  <c r="H142" i="330"/>
  <c r="H31" i="330"/>
  <c r="H32" i="330"/>
  <c r="H33" i="330"/>
  <c r="H13" i="330"/>
  <c r="H136" i="330"/>
  <c r="H137" i="330"/>
  <c r="H205" i="330"/>
  <c r="K9" i="177" l="1"/>
  <c r="K27" i="177"/>
  <c r="K184" i="324"/>
  <c r="K202" i="324"/>
  <c r="K229" i="324"/>
  <c r="K252" i="324"/>
  <c r="K255" i="324"/>
  <c r="K277" i="324"/>
  <c r="K276" i="324"/>
  <c r="K35" i="335"/>
  <c r="K9" i="335"/>
  <c r="H119" i="242"/>
  <c r="H9" i="242"/>
  <c r="G15" i="177" l="1"/>
  <c r="D77" i="325" l="1"/>
  <c r="G24" i="317"/>
  <c r="G19" i="317"/>
  <c r="F63" i="330" l="1"/>
  <c r="G63" i="330"/>
  <c r="H98" i="326" l="1"/>
  <c r="H119" i="335" l="1"/>
  <c r="H113" i="335"/>
  <c r="H101" i="335"/>
  <c r="H89" i="335"/>
  <c r="H77" i="335"/>
  <c r="H73" i="335"/>
  <c r="H47" i="335"/>
  <c r="H41" i="335"/>
  <c r="H35" i="335"/>
  <c r="H21" i="335"/>
  <c r="H9" i="335"/>
  <c r="H158" i="333"/>
  <c r="H155" i="333"/>
  <c r="H152" i="333"/>
  <c r="H149" i="333"/>
  <c r="H158" i="325"/>
  <c r="H155" i="325"/>
  <c r="H152" i="325"/>
  <c r="H149" i="325"/>
  <c r="H146" i="325"/>
  <c r="H145" i="325"/>
  <c r="H144" i="325"/>
  <c r="H143" i="325"/>
  <c r="H142" i="325"/>
  <c r="H141" i="325"/>
  <c r="H119" i="325"/>
  <c r="H102" i="325"/>
  <c r="H101" i="325"/>
  <c r="H100" i="325"/>
  <c r="H98" i="325"/>
  <c r="H97" i="325"/>
  <c r="H96" i="325"/>
  <c r="H95" i="325"/>
  <c r="H94" i="325"/>
  <c r="H93" i="325"/>
  <c r="H92" i="325"/>
  <c r="H91" i="325"/>
  <c r="H90" i="325"/>
  <c r="H89" i="325"/>
  <c r="H88" i="325"/>
  <c r="H87" i="325"/>
  <c r="H86" i="325"/>
  <c r="H85" i="325"/>
  <c r="H84" i="325"/>
  <c r="H83" i="325"/>
  <c r="H82" i="325"/>
  <c r="H81" i="325"/>
  <c r="H80" i="325"/>
  <c r="H79" i="325"/>
  <c r="H78" i="325"/>
  <c r="H77" i="325"/>
  <c r="H52" i="325"/>
  <c r="H51" i="325"/>
  <c r="H50" i="325"/>
  <c r="H49" i="325"/>
  <c r="H48" i="325"/>
  <c r="H47" i="325"/>
  <c r="H46" i="325"/>
  <c r="H44" i="325"/>
  <c r="H43" i="325"/>
  <c r="H42" i="325"/>
  <c r="H41" i="325"/>
  <c r="H40" i="325"/>
  <c r="H39" i="325"/>
  <c r="H37" i="325"/>
  <c r="H36" i="325"/>
  <c r="H35" i="325"/>
  <c r="H34" i="325"/>
  <c r="H33" i="325"/>
  <c r="H32" i="325"/>
  <c r="H31" i="325"/>
  <c r="H30" i="325"/>
  <c r="H29" i="325"/>
  <c r="H28" i="325"/>
  <c r="H26" i="325"/>
  <c r="H25" i="325"/>
  <c r="H24" i="325"/>
  <c r="H23" i="325"/>
  <c r="H22" i="325"/>
  <c r="H21" i="325"/>
  <c r="H20" i="325"/>
  <c r="H19" i="325"/>
  <c r="H18" i="325"/>
  <c r="H12" i="325"/>
  <c r="H11" i="325"/>
  <c r="H10" i="325"/>
  <c r="H9" i="325"/>
  <c r="H119" i="326"/>
  <c r="H108" i="326"/>
  <c r="H100" i="326"/>
  <c r="H41" i="326"/>
  <c r="H21" i="326"/>
  <c r="H9" i="326"/>
  <c r="H155" i="242"/>
  <c r="H152" i="242"/>
  <c r="H149" i="242"/>
  <c r="H144" i="242"/>
  <c r="H106" i="242"/>
  <c r="H101" i="242"/>
  <c r="H98" i="242"/>
  <c r="H97" i="242"/>
  <c r="H96" i="242"/>
  <c r="H95" i="242"/>
  <c r="H94" i="242"/>
  <c r="H93" i="242"/>
  <c r="H92" i="242"/>
  <c r="H91" i="242"/>
  <c r="H90" i="242"/>
  <c r="H89" i="242"/>
  <c r="H88" i="242"/>
  <c r="H87" i="242"/>
  <c r="H86" i="242"/>
  <c r="H85" i="242"/>
  <c r="H84" i="242"/>
  <c r="H83" i="242"/>
  <c r="H82" i="242"/>
  <c r="H81" i="242"/>
  <c r="H80" i="242"/>
  <c r="H79" i="242"/>
  <c r="H78" i="242"/>
  <c r="H77" i="242"/>
  <c r="H73" i="242"/>
  <c r="H52" i="242"/>
  <c r="H51" i="242"/>
  <c r="H50" i="242"/>
  <c r="H49" i="242"/>
  <c r="H48" i="242"/>
  <c r="H47" i="242"/>
  <c r="H46" i="242"/>
  <c r="H44" i="242"/>
  <c r="H43" i="242"/>
  <c r="H42" i="242"/>
  <c r="H41" i="242"/>
  <c r="H40" i="242"/>
  <c r="H39" i="242"/>
  <c r="H35" i="242"/>
  <c r="H20" i="242"/>
  <c r="H66" i="318"/>
  <c r="H65" i="318"/>
  <c r="H64" i="318"/>
  <c r="H63" i="318"/>
  <c r="H62" i="318"/>
  <c r="H61" i="318"/>
  <c r="H60" i="318"/>
  <c r="H59" i="318"/>
  <c r="H58" i="318"/>
  <c r="H57" i="318"/>
  <c r="H56" i="318"/>
  <c r="H55" i="318"/>
  <c r="H54" i="318"/>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42" i="269"/>
  <c r="H41" i="269"/>
  <c r="H40" i="269"/>
  <c r="H39" i="269"/>
  <c r="H38" i="269"/>
  <c r="H37" i="269"/>
  <c r="H36" i="269"/>
  <c r="H19" i="269"/>
  <c r="H18" i="269"/>
  <c r="H17" i="269"/>
  <c r="H16" i="269"/>
  <c r="H15" i="269"/>
  <c r="H14" i="269"/>
  <c r="H13" i="269"/>
  <c r="H12" i="269"/>
  <c r="H11" i="269"/>
  <c r="H10" i="269"/>
  <c r="H9" i="269"/>
  <c r="H51" i="270"/>
  <c r="H50" i="270"/>
  <c r="H49" i="270"/>
  <c r="H48" i="270"/>
  <c r="H47" i="270"/>
  <c r="H46" i="270"/>
  <c r="H45" i="270"/>
  <c r="H44" i="270"/>
  <c r="H43" i="270"/>
  <c r="H42" i="270"/>
  <c r="H19" i="270"/>
  <c r="H18" i="270"/>
  <c r="H17" i="270"/>
  <c r="H16" i="270"/>
  <c r="H15" i="270"/>
  <c r="H14" i="270"/>
  <c r="H13" i="270"/>
  <c r="H12" i="270"/>
  <c r="H11" i="270"/>
  <c r="H10" i="270"/>
  <c r="H9" i="270"/>
  <c r="H36" i="177"/>
  <c r="H34" i="177"/>
  <c r="H33" i="177"/>
  <c r="H32" i="177"/>
  <c r="H27" i="177"/>
  <c r="H17" i="177"/>
  <c r="H16" i="177"/>
  <c r="H15" i="177"/>
  <c r="H13" i="177"/>
  <c r="H12" i="177"/>
  <c r="H11" i="177"/>
  <c r="H10" i="177"/>
  <c r="H9" i="177"/>
  <c r="H8" i="177"/>
  <c r="H7" i="177"/>
  <c r="H285" i="324"/>
  <c r="H284" i="324"/>
  <c r="H283" i="324"/>
  <c r="H282" i="324"/>
  <c r="H281" i="324"/>
  <c r="H280" i="324"/>
  <c r="H279" i="324"/>
  <c r="H278" i="324"/>
  <c r="H277" i="324"/>
  <c r="H276" i="324"/>
  <c r="H274" i="324"/>
  <c r="H273" i="324"/>
  <c r="H272" i="324"/>
  <c r="H271" i="324"/>
  <c r="H270" i="324"/>
  <c r="H269" i="324"/>
  <c r="H268" i="324"/>
  <c r="H267" i="324"/>
  <c r="H266" i="324"/>
  <c r="H265" i="324"/>
  <c r="H263" i="324"/>
  <c r="H262" i="324"/>
  <c r="H261" i="324"/>
  <c r="H260" i="324"/>
  <c r="H259" i="324"/>
  <c r="H258" i="324"/>
  <c r="H257" i="324"/>
  <c r="H256" i="324"/>
  <c r="H255" i="324"/>
  <c r="H254" i="324"/>
  <c r="H252" i="324"/>
  <c r="H251" i="324"/>
  <c r="H250" i="324"/>
  <c r="H249" i="324"/>
  <c r="H248" i="324"/>
  <c r="H247" i="324"/>
  <c r="H246" i="324"/>
  <c r="H245" i="324"/>
  <c r="H244" i="324"/>
  <c r="H243" i="324"/>
  <c r="H241" i="324"/>
  <c r="H240" i="324"/>
  <c r="H239" i="324"/>
  <c r="H238" i="324"/>
  <c r="H237" i="324"/>
  <c r="H236" i="324"/>
  <c r="H235" i="324"/>
  <c r="H234" i="324"/>
  <c r="H233" i="324"/>
  <c r="H232"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84" i="324"/>
  <c r="H73" i="268"/>
  <c r="H72" i="268"/>
  <c r="H71" i="268"/>
  <c r="H69" i="268"/>
  <c r="H68" i="268"/>
  <c r="H67" i="268"/>
  <c r="H66" i="268"/>
  <c r="H62" i="268"/>
  <c r="H61" i="268"/>
  <c r="H60" i="268"/>
  <c r="H59" i="268"/>
  <c r="H58" i="268"/>
  <c r="H56" i="268"/>
  <c r="H55" i="268"/>
  <c r="H54" i="268"/>
  <c r="H52" i="268"/>
  <c r="H51" i="268"/>
  <c r="H50" i="268"/>
  <c r="H49" i="268"/>
  <c r="H48" i="268"/>
  <c r="H45" i="268"/>
  <c r="H41" i="182"/>
  <c r="H40" i="182"/>
  <c r="H35" i="182"/>
  <c r="H34" i="182"/>
  <c r="H33" i="182"/>
  <c r="H32" i="182"/>
  <c r="H31" i="182"/>
  <c r="H30" i="182"/>
  <c r="H29" i="182"/>
  <c r="H28" i="182"/>
  <c r="H26" i="182"/>
  <c r="H25" i="182"/>
  <c r="H21" i="182"/>
  <c r="H20" i="182"/>
  <c r="H19" i="182"/>
  <c r="H18" i="182"/>
  <c r="H17" i="182"/>
  <c r="H16" i="182"/>
  <c r="H15" i="182"/>
  <c r="H14" i="182"/>
  <c r="H13" i="182"/>
  <c r="H12" i="182"/>
  <c r="H11" i="182"/>
  <c r="H10" i="182"/>
  <c r="H9" i="182"/>
  <c r="H8" i="182"/>
  <c r="H7" i="182"/>
  <c r="H6" i="182"/>
  <c r="H294" i="323"/>
  <c r="H293" i="323"/>
  <c r="H292" i="323"/>
  <c r="H291" i="323"/>
  <c r="H290" i="323"/>
  <c r="H289" i="323"/>
  <c r="H288" i="323"/>
  <c r="H287" i="323"/>
  <c r="H286" i="323"/>
  <c r="H285" i="323"/>
  <c r="H283" i="323"/>
  <c r="H282" i="323"/>
  <c r="H281" i="323"/>
  <c r="H280" i="323"/>
  <c r="H279" i="323"/>
  <c r="H278" i="323"/>
  <c r="H277" i="323"/>
  <c r="H276" i="323"/>
  <c r="H275" i="323"/>
  <c r="H274" i="323"/>
  <c r="H272" i="323"/>
  <c r="H271" i="323"/>
  <c r="H270" i="323"/>
  <c r="H269" i="323"/>
  <c r="H268" i="323"/>
  <c r="H267" i="323"/>
  <c r="H266"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4" i="323"/>
  <c r="H193" i="323"/>
  <c r="H192" i="323"/>
  <c r="H191" i="323"/>
  <c r="H190" i="323"/>
  <c r="H189" i="323"/>
  <c r="H188" i="323"/>
  <c r="H187" i="323"/>
  <c r="H186" i="323"/>
  <c r="H184" i="323"/>
  <c r="H183" i="323"/>
  <c r="H182" i="323"/>
  <c r="H181" i="323"/>
  <c r="H180" i="323"/>
  <c r="H179" i="323"/>
  <c r="H178" i="323"/>
  <c r="H177" i="323"/>
  <c r="H176" i="323"/>
  <c r="H175" i="323"/>
  <c r="H126" i="323"/>
  <c r="H125" i="323"/>
  <c r="H124" i="323"/>
  <c r="H123" i="323"/>
  <c r="H122" i="323"/>
  <c r="H121" i="323"/>
  <c r="H120" i="323"/>
  <c r="H119" i="323"/>
  <c r="H118" i="323"/>
  <c r="H117" i="323"/>
  <c r="H115" i="323"/>
  <c r="H114" i="323"/>
  <c r="H113" i="323"/>
  <c r="H112" i="323"/>
  <c r="H111" i="323"/>
  <c r="H110" i="323"/>
  <c r="H109" i="323"/>
  <c r="H108" i="323"/>
  <c r="H107" i="323"/>
  <c r="H106" i="323"/>
  <c r="H104" i="323"/>
  <c r="H103" i="323"/>
  <c r="H102" i="323"/>
  <c r="H101" i="323"/>
  <c r="H99" i="323"/>
  <c r="H98"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l="1"/>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18" i="323"/>
  <c r="H241" i="330"/>
  <c r="H240" i="330"/>
  <c r="H239" i="330"/>
  <c r="H238" i="330"/>
  <c r="H236" i="330"/>
  <c r="H235" i="330"/>
  <c r="H234" i="330"/>
  <c r="H233" i="330"/>
  <c r="H231" i="330"/>
  <c r="H230" i="330"/>
  <c r="H229" i="330"/>
  <c r="H227" i="330"/>
  <c r="H226" i="330"/>
  <c r="H222" i="330"/>
  <c r="H221" i="330"/>
  <c r="H220" i="330"/>
  <c r="H219" i="330"/>
  <c r="H218" i="330"/>
  <c r="H217" i="330"/>
  <c r="H215" i="330"/>
  <c r="H214" i="330"/>
  <c r="H213" i="330"/>
  <c r="H212" i="330"/>
  <c r="H211" i="330"/>
  <c r="H210" i="330"/>
  <c r="H208" i="330"/>
  <c r="H207" i="330"/>
  <c r="H206"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1" i="330"/>
  <c r="H140" i="330"/>
  <c r="H139" i="330"/>
  <c r="H138" i="330"/>
  <c r="H135" i="330"/>
  <c r="H134" i="330"/>
  <c r="H132" i="330"/>
  <c r="H131" i="330"/>
  <c r="H118" i="330"/>
  <c r="H117" i="330"/>
  <c r="H116" i="330"/>
  <c r="H115" i="330"/>
  <c r="H113" i="330"/>
  <c r="H112" i="330"/>
  <c r="H111" i="330"/>
  <c r="H110" i="330"/>
  <c r="H108" i="330"/>
  <c r="H107" i="330"/>
  <c r="H106" i="330"/>
  <c r="H104" i="330"/>
  <c r="H103" i="330"/>
  <c r="H102" i="330"/>
  <c r="H99" i="330"/>
  <c r="H98" i="330"/>
  <c r="H97" i="330"/>
  <c r="H96" i="330"/>
  <c r="H95" i="330"/>
  <c r="H94" i="330"/>
  <c r="H92" i="330"/>
  <c r="H91" i="330"/>
  <c r="H90" i="330"/>
  <c r="H89" i="330"/>
  <c r="H88" i="330"/>
  <c r="H87" i="330"/>
  <c r="H85" i="330"/>
  <c r="H84" i="330"/>
  <c r="H83" i="330"/>
  <c r="H80" i="330"/>
  <c r="H79" i="330"/>
  <c r="H78" i="330"/>
  <c r="H77" i="330"/>
  <c r="H76" i="330"/>
  <c r="H65" i="330"/>
  <c r="H62"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0" i="330"/>
  <c r="H29" i="330"/>
  <c r="H24" i="330"/>
  <c r="H23" i="330"/>
  <c r="H15" i="330"/>
  <c r="H14" i="330"/>
  <c r="H12" i="330"/>
  <c r="H11" i="330"/>
  <c r="H8" i="330"/>
  <c r="G45" i="318" l="1"/>
  <c r="G43" i="318"/>
  <c r="G42" i="318"/>
  <c r="G41" i="318"/>
  <c r="G40" i="318"/>
  <c r="G39" i="318"/>
  <c r="G37" i="318"/>
  <c r="G36" i="318"/>
  <c r="G35" i="318"/>
  <c r="G34" i="318"/>
  <c r="G26" i="318"/>
  <c r="G23" i="318"/>
  <c r="G20" i="318"/>
  <c r="G19" i="318"/>
  <c r="G18" i="318"/>
  <c r="G13" i="318"/>
  <c r="G11" i="318"/>
  <c r="G10" i="318"/>
  <c r="G9" i="318"/>
  <c r="G8" i="318"/>
  <c r="G7" i="318"/>
  <c r="H195" i="323" l="1"/>
  <c r="G101" i="242" l="1"/>
  <c r="G41" i="242"/>
  <c r="G41" i="326"/>
  <c r="G9" i="335"/>
  <c r="G41" i="335"/>
  <c r="G229" i="324" l="1"/>
  <c r="G277" i="324"/>
  <c r="G276" i="324"/>
  <c r="G222" i="324"/>
  <c r="G214" i="324"/>
  <c r="H98" i="335" l="1"/>
  <c r="H97" i="335"/>
  <c r="H96" i="335"/>
  <c r="H95" i="335"/>
  <c r="H94" i="335"/>
  <c r="H93" i="335"/>
  <c r="H92" i="335"/>
  <c r="H91" i="335"/>
  <c r="H90" i="335"/>
  <c r="H88" i="335"/>
  <c r="H87" i="335"/>
  <c r="H86" i="335"/>
  <c r="H85" i="335"/>
  <c r="H84" i="335"/>
  <c r="H83" i="335"/>
  <c r="H82" i="335"/>
  <c r="H81" i="335"/>
  <c r="H80" i="335"/>
  <c r="H79" i="335"/>
  <c r="H78" i="335"/>
  <c r="H70" i="335"/>
  <c r="H51" i="335"/>
  <c r="H50" i="335"/>
  <c r="H49" i="335"/>
  <c r="H48" i="335"/>
  <c r="H46" i="335"/>
  <c r="H44" i="335"/>
  <c r="H43" i="335"/>
  <c r="H42" i="335"/>
  <c r="H40" i="335"/>
  <c r="H39" i="335"/>
  <c r="E35" i="269" l="1"/>
  <c r="E41" i="270"/>
  <c r="C41" i="270"/>
  <c r="D41" i="270"/>
  <c r="E240" i="323"/>
  <c r="H132" i="333" l="1"/>
  <c r="H131" i="333"/>
  <c r="H129" i="333"/>
  <c r="H128" i="333"/>
  <c r="H127" i="333"/>
  <c r="H126" i="333"/>
  <c r="H125" i="333"/>
  <c r="H124" i="333"/>
  <c r="H123" i="333"/>
  <c r="H122" i="333"/>
  <c r="H121" i="333"/>
  <c r="H120" i="333"/>
  <c r="H119" i="333"/>
  <c r="H102" i="333"/>
  <c r="H101" i="333"/>
  <c r="H100" i="333"/>
  <c r="H98"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47" i="333"/>
  <c r="H46" i="333"/>
  <c r="H43" i="333"/>
  <c r="H42" i="333"/>
  <c r="H41" i="333"/>
  <c r="H40" i="333"/>
  <c r="H39" i="333"/>
  <c r="H36" i="333"/>
  <c r="H35" i="333"/>
  <c r="H34" i="333"/>
  <c r="H33" i="333"/>
  <c r="H32" i="333"/>
  <c r="H31" i="333"/>
  <c r="H30" i="333"/>
  <c r="H29" i="333"/>
  <c r="H28" i="333"/>
  <c r="H25" i="333"/>
  <c r="H24" i="333"/>
  <c r="H23" i="333"/>
  <c r="H22" i="333"/>
  <c r="H21" i="333"/>
  <c r="H20" i="333"/>
  <c r="H19" i="333"/>
  <c r="H15" i="333"/>
  <c r="H11" i="333"/>
  <c r="H10" i="333"/>
  <c r="H9" i="333"/>
  <c r="H20" i="181" l="1"/>
  <c r="H19" i="181"/>
  <c r="H18" i="181"/>
  <c r="H17" i="181"/>
  <c r="H16" i="181"/>
  <c r="H15" i="181"/>
  <c r="H14" i="181"/>
  <c r="H13" i="181"/>
  <c r="H12" i="181"/>
  <c r="H11" i="181"/>
  <c r="H10" i="181"/>
  <c r="H9" i="181"/>
  <c r="H8" i="181"/>
  <c r="H7" i="181"/>
  <c r="H6" i="181"/>
  <c r="G20" i="242" l="1"/>
  <c r="G9" i="242"/>
  <c r="G54" i="268" l="1"/>
  <c r="C15" i="177" l="1"/>
  <c r="E49" i="269" l="1"/>
  <c r="F10" i="333" l="1"/>
  <c r="H48" i="333" l="1"/>
  <c r="H49" i="333"/>
  <c r="H50" i="333"/>
  <c r="H51" i="333"/>
  <c r="H52" i="333"/>
  <c r="H44" i="333"/>
  <c r="H37" i="333"/>
  <c r="H26" i="333"/>
  <c r="H12" i="333"/>
  <c r="G9" i="333"/>
  <c r="K26" i="181"/>
  <c r="K27" i="181"/>
  <c r="K28" i="181"/>
  <c r="K29" i="181"/>
  <c r="K30" i="181"/>
  <c r="K31" i="181"/>
  <c r="K32" i="181"/>
  <c r="K33" i="181"/>
  <c r="K34" i="181"/>
  <c r="K25" i="181"/>
  <c r="K7" i="181"/>
  <c r="K8" i="181"/>
  <c r="K9" i="181"/>
  <c r="K10" i="181"/>
  <c r="K11" i="181"/>
  <c r="K12" i="181"/>
  <c r="K13" i="181"/>
  <c r="K14" i="181"/>
  <c r="K15" i="181"/>
  <c r="K16" i="181"/>
  <c r="K17" i="181"/>
  <c r="K18" i="181"/>
  <c r="K19" i="181"/>
  <c r="K20" i="181"/>
  <c r="K6" i="181"/>
  <c r="E69" i="270" l="1"/>
  <c r="I38" i="270"/>
  <c r="G8" i="269"/>
  <c r="F8" i="269"/>
  <c r="K41" i="270"/>
  <c r="J41" i="270"/>
  <c r="I41" i="270"/>
  <c r="I69" i="270" s="1"/>
  <c r="G41" i="270"/>
  <c r="G69" i="270" s="1"/>
  <c r="F41" i="270"/>
  <c r="F69" i="270" s="1"/>
  <c r="D69" i="270"/>
  <c r="D71" i="270" s="1"/>
  <c r="C69" i="270"/>
  <c r="K8" i="270"/>
  <c r="K38" i="270" s="1"/>
  <c r="J8" i="270"/>
  <c r="I8" i="270"/>
  <c r="G8" i="270"/>
  <c r="G38" i="270" s="1"/>
  <c r="F8" i="270"/>
  <c r="F38" i="270" s="1"/>
  <c r="D8" i="270"/>
  <c r="D38" i="270" s="1"/>
  <c r="E8" i="270"/>
  <c r="E38" i="270" s="1"/>
  <c r="E71" i="270" s="1"/>
  <c r="C8" i="270"/>
  <c r="C38" i="270" s="1"/>
  <c r="D203" i="324"/>
  <c r="C71" i="270" l="1"/>
  <c r="F71" i="270"/>
  <c r="G71" i="270"/>
  <c r="H19" i="183" l="1"/>
  <c r="H15" i="183"/>
  <c r="H14" i="183"/>
  <c r="H13" i="183"/>
  <c r="H6" i="183"/>
  <c r="H41" i="181"/>
  <c r="H40" i="181"/>
  <c r="H39" i="181"/>
  <c r="H35" i="181"/>
  <c r="H34" i="181"/>
  <c r="H33" i="181"/>
  <c r="H32" i="181"/>
  <c r="H31" i="181"/>
  <c r="H30" i="181"/>
  <c r="H29" i="181"/>
  <c r="H28" i="181"/>
  <c r="H27" i="181"/>
  <c r="H26" i="181"/>
  <c r="H25" i="181"/>
  <c r="H21" i="181"/>
  <c r="H41" i="270" l="1"/>
  <c r="H69" i="270" s="1"/>
  <c r="H8" i="270"/>
  <c r="H38" i="270" s="1"/>
  <c r="H146" i="242"/>
  <c r="H145" i="242"/>
  <c r="H143" i="242"/>
  <c r="H142" i="242"/>
  <c r="H141" i="242"/>
  <c r="H102" i="242"/>
  <c r="H100" i="242"/>
  <c r="H37" i="242"/>
  <c r="H36" i="242"/>
  <c r="H34" i="242"/>
  <c r="H33" i="242"/>
  <c r="H32" i="242"/>
  <c r="H31" i="242"/>
  <c r="H30" i="242"/>
  <c r="H29" i="242"/>
  <c r="H28" i="242"/>
  <c r="H26" i="242"/>
  <c r="H25" i="242"/>
  <c r="H24" i="242"/>
  <c r="H23" i="242"/>
  <c r="H22" i="242"/>
  <c r="H21" i="242"/>
  <c r="H19" i="242"/>
  <c r="H18" i="242"/>
  <c r="H71" i="270" l="1"/>
  <c r="G149" i="333"/>
  <c r="C20" i="178" l="1"/>
  <c r="A13" i="269" l="1"/>
  <c r="A18" i="269"/>
  <c r="K35" i="269" l="1"/>
  <c r="F35" i="269"/>
  <c r="G35" i="269"/>
  <c r="H35" i="269"/>
  <c r="D35" i="269"/>
  <c r="G158" i="333"/>
  <c r="G155" i="333"/>
  <c r="G152" i="333"/>
  <c r="G132" i="333"/>
  <c r="G131" i="333"/>
  <c r="G129" i="333"/>
  <c r="G128" i="333"/>
  <c r="G127" i="333"/>
  <c r="G126" i="333"/>
  <c r="G125" i="333"/>
  <c r="G124" i="333"/>
  <c r="G123" i="333"/>
  <c r="G122" i="333"/>
  <c r="G121" i="333"/>
  <c r="G120" i="333"/>
  <c r="G119" i="333"/>
  <c r="G101" i="333"/>
  <c r="G100" i="333"/>
  <c r="G98" i="333"/>
  <c r="G97" i="333"/>
  <c r="G96" i="333"/>
  <c r="G95" i="333"/>
  <c r="G94" i="333"/>
  <c r="G93" i="333"/>
  <c r="G92" i="333"/>
  <c r="G91" i="333"/>
  <c r="G90" i="333"/>
  <c r="G89" i="333"/>
  <c r="G88" i="333"/>
  <c r="G87" i="333"/>
  <c r="G86" i="333"/>
  <c r="G85" i="333"/>
  <c r="G84" i="333"/>
  <c r="G83" i="333"/>
  <c r="G82" i="333"/>
  <c r="G81" i="333"/>
  <c r="G80" i="333"/>
  <c r="G79" i="333"/>
  <c r="G78" i="333"/>
  <c r="G77" i="333"/>
  <c r="G73" i="333"/>
  <c r="G72" i="333"/>
  <c r="G71" i="333"/>
  <c r="G70" i="333"/>
  <c r="G47" i="333"/>
  <c r="G46" i="333"/>
  <c r="G43" i="333"/>
  <c r="G42" i="333"/>
  <c r="G41" i="333"/>
  <c r="G40" i="333"/>
  <c r="G39" i="333"/>
  <c r="G36" i="333"/>
  <c r="G35" i="333"/>
  <c r="G34" i="333"/>
  <c r="G33" i="333"/>
  <c r="G32" i="333"/>
  <c r="G31" i="333"/>
  <c r="G30" i="333"/>
  <c r="G29" i="333"/>
  <c r="G28" i="333"/>
  <c r="G25" i="333"/>
  <c r="G24" i="333"/>
  <c r="G23" i="333"/>
  <c r="G22" i="333"/>
  <c r="G21" i="333"/>
  <c r="G20" i="333"/>
  <c r="G19" i="333"/>
  <c r="H18" i="333"/>
  <c r="H16" i="333"/>
  <c r="G15" i="333"/>
  <c r="H14" i="333"/>
  <c r="G11" i="333"/>
  <c r="G10" i="333"/>
  <c r="K73" i="335"/>
  <c r="K101" i="335"/>
  <c r="K113" i="335"/>
  <c r="K119" i="335"/>
  <c r="K21" i="335"/>
  <c r="K41" i="335"/>
  <c r="F9" i="333"/>
  <c r="F11" i="333"/>
  <c r="H158" i="242" l="1"/>
  <c r="K29" i="318" l="1"/>
  <c r="K28" i="318"/>
  <c r="K13" i="318"/>
  <c r="K12" i="318"/>
  <c r="K11" i="318"/>
  <c r="K10" i="318"/>
  <c r="K9" i="318"/>
  <c r="K8" i="318"/>
  <c r="K7" i="318"/>
  <c r="D19" i="269" l="1"/>
  <c r="C19" i="269"/>
  <c r="D18" i="269"/>
  <c r="C18" i="269"/>
  <c r="D17" i="269"/>
  <c r="C17" i="269"/>
  <c r="D16" i="269"/>
  <c r="C16" i="269"/>
  <c r="D15" i="269"/>
  <c r="C15" i="269"/>
  <c r="D14" i="269"/>
  <c r="C14" i="269"/>
  <c r="D13" i="269"/>
  <c r="C13" i="269"/>
  <c r="D12" i="269"/>
  <c r="C12" i="269"/>
  <c r="D11" i="269"/>
  <c r="C11" i="269"/>
  <c r="D10" i="269"/>
  <c r="C10" i="269"/>
  <c r="D9" i="269"/>
  <c r="C9" i="269"/>
  <c r="H8" i="269" l="1"/>
  <c r="H22" i="323"/>
  <c r="H21" i="323"/>
  <c r="H20" i="323"/>
  <c r="H19" i="323"/>
  <c r="H16" i="323"/>
  <c r="H15" i="323"/>
  <c r="H14" i="323"/>
  <c r="H13" i="323"/>
  <c r="H12" i="323"/>
  <c r="H11" i="323"/>
  <c r="H10" i="323"/>
  <c r="H9" i="323"/>
  <c r="H8" i="323"/>
  <c r="H7" i="323"/>
  <c r="H26" i="330"/>
  <c r="H9" i="330"/>
  <c r="K241" i="330"/>
  <c r="K240" i="330"/>
  <c r="K239" i="330"/>
  <c r="K238" i="330"/>
  <c r="K236" i="330"/>
  <c r="K235" i="330"/>
  <c r="K234" i="330"/>
  <c r="K233" i="330"/>
  <c r="K212" i="330"/>
  <c r="K191" i="330"/>
  <c r="K187" i="330"/>
  <c r="K176" i="330"/>
  <c r="K135" i="330"/>
  <c r="K136" i="330"/>
  <c r="K137" i="330"/>
  <c r="K138" i="330"/>
  <c r="K139" i="330"/>
  <c r="K140" i="330"/>
  <c r="K141" i="330"/>
  <c r="K142" i="330"/>
  <c r="K143" i="330"/>
  <c r="K144" i="330"/>
  <c r="K145" i="330"/>
  <c r="K146" i="330"/>
  <c r="K132" i="330"/>
  <c r="K111" i="330"/>
  <c r="K112" i="330"/>
  <c r="K107" i="330"/>
  <c r="K55" i="330"/>
  <c r="K54" i="330"/>
  <c r="K53" i="330"/>
  <c r="K52" i="330"/>
  <c r="K51" i="330"/>
  <c r="K49" i="330"/>
  <c r="K48" i="330"/>
  <c r="K47" i="330"/>
  <c r="K46" i="330"/>
  <c r="K45" i="330"/>
  <c r="K44" i="330"/>
  <c r="K43" i="330"/>
  <c r="K42" i="330"/>
  <c r="K41" i="330"/>
  <c r="K40" i="330"/>
  <c r="K39" i="330"/>
  <c r="K38" i="330"/>
  <c r="K37" i="330"/>
  <c r="K36" i="330"/>
  <c r="K35" i="330"/>
  <c r="K34" i="330"/>
  <c r="K33" i="330"/>
  <c r="K32" i="330"/>
  <c r="K31" i="330"/>
  <c r="K30" i="330"/>
  <c r="K29" i="330"/>
  <c r="K26" i="330"/>
  <c r="K24" i="330"/>
  <c r="K23" i="330"/>
  <c r="K22" i="330"/>
  <c r="K21" i="330"/>
  <c r="K20" i="330"/>
  <c r="K19" i="330"/>
  <c r="K18" i="330"/>
  <c r="K17" i="330"/>
  <c r="K16" i="330"/>
  <c r="K15" i="330"/>
  <c r="K14" i="330"/>
  <c r="K13" i="330"/>
  <c r="K12" i="330"/>
  <c r="K11" i="330"/>
  <c r="K9" i="330"/>
  <c r="K8" i="330"/>
  <c r="C186" i="330"/>
  <c r="D186" i="330"/>
  <c r="E186" i="330"/>
  <c r="F186" i="330"/>
  <c r="G186" i="330"/>
  <c r="H186" i="330"/>
  <c r="C63" i="330"/>
  <c r="D63" i="330"/>
  <c r="E63" i="330"/>
  <c r="K36" i="177"/>
  <c r="K34" i="177"/>
  <c r="K33" i="177"/>
  <c r="K32" i="177"/>
  <c r="K25" i="177"/>
  <c r="K24" i="177"/>
  <c r="K23" i="177"/>
  <c r="K22" i="177"/>
  <c r="K17" i="177"/>
  <c r="K16" i="177"/>
  <c r="K15" i="177"/>
  <c r="K12" i="177"/>
  <c r="K11" i="177"/>
  <c r="K10" i="177"/>
  <c r="K8" i="177"/>
  <c r="K7" i="177"/>
  <c r="H25" i="177"/>
  <c r="H24" i="177"/>
  <c r="H23" i="177"/>
  <c r="H22" i="177"/>
  <c r="K285" i="324"/>
  <c r="K284" i="324"/>
  <c r="K283" i="324"/>
  <c r="K282" i="324"/>
  <c r="K281" i="324"/>
  <c r="K280" i="324"/>
  <c r="K279" i="324"/>
  <c r="K278" i="324"/>
  <c r="K274" i="324"/>
  <c r="K273" i="324"/>
  <c r="K272" i="324"/>
  <c r="K271" i="324"/>
  <c r="K270" i="324"/>
  <c r="K269" i="324"/>
  <c r="K268" i="324"/>
  <c r="K267" i="324"/>
  <c r="K266" i="324"/>
  <c r="K265" i="324"/>
  <c r="K263" i="324"/>
  <c r="K262" i="324"/>
  <c r="K261" i="324"/>
  <c r="K260" i="324"/>
  <c r="K259" i="324"/>
  <c r="K258" i="324"/>
  <c r="K257" i="324"/>
  <c r="K256" i="324"/>
  <c r="K254" i="324"/>
  <c r="K251" i="324"/>
  <c r="K250" i="324"/>
  <c r="K249" i="324"/>
  <c r="K248" i="324"/>
  <c r="K247" i="324"/>
  <c r="K246" i="324"/>
  <c r="K245" i="324"/>
  <c r="K243" i="324"/>
  <c r="K241" i="324"/>
  <c r="K240" i="324"/>
  <c r="K239" i="324"/>
  <c r="K238" i="324"/>
  <c r="K237" i="324"/>
  <c r="K236" i="324"/>
  <c r="K235" i="324"/>
  <c r="K234" i="324"/>
  <c r="K233" i="324"/>
  <c r="K232" i="324"/>
  <c r="K230"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1" i="324"/>
  <c r="K200" i="324"/>
  <c r="K199" i="324"/>
  <c r="K197" i="324"/>
  <c r="K196" i="324"/>
  <c r="K195" i="324"/>
  <c r="K194" i="324"/>
  <c r="K193" i="324"/>
  <c r="K192" i="324"/>
  <c r="K191" i="324"/>
  <c r="K190" i="324"/>
  <c r="K189" i="324"/>
  <c r="K188" i="324"/>
  <c r="K186" i="324"/>
  <c r="K185" i="324"/>
  <c r="K183" i="324"/>
  <c r="K182" i="324"/>
  <c r="K181" i="324"/>
  <c r="K180" i="324"/>
  <c r="K179" i="324"/>
  <c r="K178" i="324"/>
  <c r="K177" i="324"/>
  <c r="K46" i="268"/>
  <c r="K44" i="268"/>
  <c r="K52" i="268"/>
  <c r="K51" i="268"/>
  <c r="K56" i="268"/>
  <c r="K62" i="268"/>
  <c r="K69" i="268"/>
  <c r="K68" i="268"/>
  <c r="K67" i="268"/>
  <c r="K66" i="268"/>
  <c r="K72" i="268"/>
  <c r="K71" i="268"/>
  <c r="K16" i="323"/>
  <c r="K15" i="323"/>
  <c r="K14" i="323"/>
  <c r="K13" i="323"/>
  <c r="K12" i="323"/>
  <c r="K11" i="323"/>
  <c r="K10" i="323"/>
  <c r="K9" i="323"/>
  <c r="K8" i="323"/>
  <c r="K7" i="323"/>
  <c r="K27" i="323"/>
  <c r="K26" i="323"/>
  <c r="K25" i="323"/>
  <c r="K24" i="323"/>
  <c r="K23" i="323"/>
  <c r="K22" i="323"/>
  <c r="K21" i="323"/>
  <c r="K20" i="323"/>
  <c r="K19" i="323"/>
  <c r="K18" i="323"/>
  <c r="K37" i="323"/>
  <c r="K36" i="323"/>
  <c r="K35" i="323"/>
  <c r="K34" i="323"/>
  <c r="K33" i="323"/>
  <c r="K32" i="323"/>
  <c r="K31" i="323"/>
  <c r="K30" i="323"/>
  <c r="K29" i="323"/>
  <c r="K115" i="323"/>
  <c r="K114" i="323"/>
  <c r="K113" i="323"/>
  <c r="K112" i="323"/>
  <c r="K111" i="323"/>
  <c r="K110" i="323"/>
  <c r="K109" i="323"/>
  <c r="K108" i="323"/>
  <c r="K107" i="323"/>
  <c r="K106" i="323"/>
  <c r="K119" i="323"/>
  <c r="K118" i="323"/>
  <c r="K117" i="323"/>
  <c r="I6" i="238" l="1"/>
  <c r="H149" i="335" l="1"/>
  <c r="H133" i="333"/>
  <c r="H129" i="325"/>
  <c r="H104" i="325"/>
  <c r="H14" i="325"/>
  <c r="H102" i="326"/>
  <c r="H79" i="326"/>
  <c r="H73" i="326"/>
  <c r="H34" i="326"/>
  <c r="H108" i="242"/>
  <c r="K73" i="326" l="1"/>
  <c r="K34" i="326"/>
  <c r="K231" i="330" l="1"/>
  <c r="K226" i="330"/>
  <c r="K221" i="330"/>
  <c r="K214" i="330"/>
  <c r="K116" i="330"/>
  <c r="K158" i="325"/>
  <c r="K155" i="325"/>
  <c r="K152" i="325"/>
  <c r="K144" i="325"/>
  <c r="K129" i="325"/>
  <c r="K119" i="325"/>
  <c r="K104" i="325"/>
  <c r="K100" i="325"/>
  <c r="K41" i="325"/>
  <c r="K40" i="325"/>
  <c r="K39" i="325"/>
  <c r="K37" i="325"/>
  <c r="K36" i="325"/>
  <c r="K35" i="325"/>
  <c r="K34" i="325"/>
  <c r="K33" i="325"/>
  <c r="K32" i="325"/>
  <c r="K31" i="325"/>
  <c r="K30" i="325"/>
  <c r="K26" i="325"/>
  <c r="K14" i="325"/>
  <c r="K158" i="242"/>
  <c r="K108" i="242"/>
  <c r="K51" i="242"/>
  <c r="K18" i="242"/>
  <c r="K40" i="181"/>
  <c r="K21" i="269" l="1"/>
  <c r="K28" i="269"/>
  <c r="K27" i="269"/>
  <c r="H77" i="318" l="1"/>
  <c r="H76" i="318"/>
  <c r="H75" i="318"/>
  <c r="H74" i="318"/>
  <c r="H73" i="318"/>
  <c r="H72" i="318"/>
  <c r="E209" i="324" l="1"/>
  <c r="E198" i="324" l="1"/>
  <c r="F198" i="324"/>
  <c r="G198" i="324"/>
  <c r="E275" i="324"/>
  <c r="E8" i="269"/>
  <c r="H128" i="325" l="1"/>
  <c r="H127" i="325"/>
  <c r="H126" i="325"/>
  <c r="H125" i="325"/>
  <c r="H124" i="325"/>
  <c r="H123" i="325"/>
  <c r="H122" i="325"/>
  <c r="H121" i="325"/>
  <c r="H120" i="325"/>
  <c r="H82" i="318"/>
  <c r="H81" i="318"/>
  <c r="H80" i="318"/>
  <c r="H79" i="318"/>
  <c r="H78" i="318"/>
  <c r="G28" i="323"/>
  <c r="H44" i="326" l="1"/>
  <c r="H43" i="326"/>
  <c r="H42" i="326"/>
  <c r="H40" i="326"/>
  <c r="H39" i="326"/>
  <c r="H37" i="326"/>
  <c r="H36" i="326"/>
  <c r="H35" i="326"/>
  <c r="H33" i="326"/>
  <c r="H32" i="326"/>
  <c r="H31" i="326"/>
  <c r="H30" i="326"/>
  <c r="H29" i="326"/>
  <c r="H28" i="326"/>
  <c r="H26" i="326"/>
  <c r="H25" i="326"/>
  <c r="H24" i="326"/>
  <c r="H23" i="326"/>
  <c r="H22" i="326"/>
  <c r="H20" i="326"/>
  <c r="H19" i="326"/>
  <c r="H18" i="326"/>
  <c r="H129" i="242"/>
  <c r="H128" i="242"/>
  <c r="H127" i="242"/>
  <c r="H126" i="242"/>
  <c r="H125" i="242"/>
  <c r="H124" i="242"/>
  <c r="H123" i="242"/>
  <c r="H122" i="242"/>
  <c r="H121" i="242"/>
  <c r="H120" i="242"/>
  <c r="H107" i="242"/>
  <c r="H105" i="242"/>
  <c r="H104" i="242"/>
  <c r="F158" i="333" l="1"/>
  <c r="F155" i="333"/>
  <c r="F152" i="333"/>
  <c r="F149" i="333"/>
  <c r="F132" i="333"/>
  <c r="F131" i="333"/>
  <c r="F129" i="333"/>
  <c r="F128" i="333"/>
  <c r="F127" i="333"/>
  <c r="F126" i="333"/>
  <c r="F125" i="333"/>
  <c r="F124" i="333"/>
  <c r="F123" i="333"/>
  <c r="F122" i="333"/>
  <c r="F121" i="333"/>
  <c r="F120" i="333"/>
  <c r="F119"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47" i="333"/>
  <c r="F46" i="333"/>
  <c r="F40" i="333"/>
  <c r="F41" i="333"/>
  <c r="F42" i="333"/>
  <c r="F43" i="333"/>
  <c r="F39" i="333"/>
  <c r="F37" i="333"/>
  <c r="F36" i="333"/>
  <c r="F35" i="333"/>
  <c r="F34" i="333"/>
  <c r="F33" i="333"/>
  <c r="F32" i="333"/>
  <c r="F31" i="333"/>
  <c r="F30" i="333"/>
  <c r="F29" i="333"/>
  <c r="F28" i="333"/>
  <c r="F26" i="333"/>
  <c r="F25" i="333"/>
  <c r="F24" i="333"/>
  <c r="F23" i="333"/>
  <c r="F22" i="333"/>
  <c r="F21" i="333"/>
  <c r="F20" i="333"/>
  <c r="F19" i="333"/>
  <c r="F18" i="333"/>
  <c r="F15" i="333"/>
  <c r="F16" i="333"/>
  <c r="F14" i="333"/>
  <c r="F12" i="333"/>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A14"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I164" i="335"/>
  <c r="J164" i="335" s="1"/>
  <c r="K163" i="335"/>
  <c r="H163" i="335"/>
  <c r="I163" i="335" s="1"/>
  <c r="J163" i="335" s="1"/>
  <c r="G163" i="335"/>
  <c r="F163" i="335"/>
  <c r="E163" i="335"/>
  <c r="D163" i="335"/>
  <c r="C163" i="335"/>
  <c r="I161" i="335"/>
  <c r="J161" i="335" s="1"/>
  <c r="K160" i="335"/>
  <c r="H160" i="335"/>
  <c r="I160" i="335" s="1"/>
  <c r="J160" i="335" s="1"/>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K148" i="335"/>
  <c r="I149" i="335"/>
  <c r="J149" i="335" s="1"/>
  <c r="H148" i="335"/>
  <c r="G148" i="335"/>
  <c r="F148" i="335"/>
  <c r="E148" i="335"/>
  <c r="D148" i="335"/>
  <c r="C148" i="335"/>
  <c r="K146" i="335"/>
  <c r="I146" i="335"/>
  <c r="J146" i="335" s="1"/>
  <c r="K145" i="335"/>
  <c r="I145" i="335"/>
  <c r="J145" i="335" s="1"/>
  <c r="K144" i="335"/>
  <c r="I144" i="335"/>
  <c r="J144" i="335" s="1"/>
  <c r="K143" i="335"/>
  <c r="I143" i="335"/>
  <c r="J143" i="335" s="1"/>
  <c r="K142" i="335"/>
  <c r="J142" i="335"/>
  <c r="I142" i="335"/>
  <c r="K141" i="335"/>
  <c r="I141" i="335"/>
  <c r="J141" i="335" s="1"/>
  <c r="H140" i="335"/>
  <c r="I140" i="335" s="1"/>
  <c r="J140" i="335" s="1"/>
  <c r="G140" i="335"/>
  <c r="G138" i="335" s="1"/>
  <c r="F140" i="335"/>
  <c r="F138" i="335" s="1"/>
  <c r="E140" i="335"/>
  <c r="D140" i="335"/>
  <c r="D138" i="335" s="1"/>
  <c r="C140" i="335"/>
  <c r="C138" i="335" s="1"/>
  <c r="I139" i="335"/>
  <c r="J139" i="335" s="1"/>
  <c r="E138"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F117" i="335" s="1"/>
  <c r="E130" i="335"/>
  <c r="D130" i="335"/>
  <c r="C130" i="335"/>
  <c r="K129" i="335"/>
  <c r="H129" i="335"/>
  <c r="I129" i="335" s="1"/>
  <c r="J129" i="335" s="1"/>
  <c r="K128" i="335"/>
  <c r="H128" i="335"/>
  <c r="I128" i="335" s="1"/>
  <c r="J128" i="335" s="1"/>
  <c r="K127" i="335"/>
  <c r="H127" i="335"/>
  <c r="I127" i="335" s="1"/>
  <c r="J127" i="335" s="1"/>
  <c r="K126" i="335"/>
  <c r="H126" i="335"/>
  <c r="I126" i="335" s="1"/>
  <c r="J126" i="335" s="1"/>
  <c r="K125" i="335"/>
  <c r="H125" i="335"/>
  <c r="I125" i="335" s="1"/>
  <c r="J125" i="335" s="1"/>
  <c r="K124" i="335"/>
  <c r="H124" i="335"/>
  <c r="I124" i="335" s="1"/>
  <c r="J124" i="335" s="1"/>
  <c r="K123" i="335"/>
  <c r="H123" i="335"/>
  <c r="I123" i="335" s="1"/>
  <c r="J123" i="335" s="1"/>
  <c r="K122" i="335"/>
  <c r="H122" i="335"/>
  <c r="I122" i="335" s="1"/>
  <c r="J122" i="335" s="1"/>
  <c r="K121" i="335"/>
  <c r="K118" i="335" s="1"/>
  <c r="K117" i="335" s="1"/>
  <c r="H121" i="335"/>
  <c r="K120" i="335"/>
  <c r="H120" i="335"/>
  <c r="I120" i="335" s="1"/>
  <c r="J120" i="335" s="1"/>
  <c r="I119" i="335"/>
  <c r="J119" i="335" s="1"/>
  <c r="G118" i="335"/>
  <c r="F118" i="335"/>
  <c r="E118" i="335"/>
  <c r="D118" i="335"/>
  <c r="D117" i="335" s="1"/>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H108" i="335"/>
  <c r="I108" i="335" s="1"/>
  <c r="J108" i="335" s="1"/>
  <c r="H107" i="335"/>
  <c r="I107" i="335" s="1"/>
  <c r="J107" i="335" s="1"/>
  <c r="I106" i="335"/>
  <c r="J106" i="335" s="1"/>
  <c r="H106" i="335"/>
  <c r="H105" i="335"/>
  <c r="I105" i="335" s="1"/>
  <c r="J105" i="335" s="1"/>
  <c r="H104" i="335"/>
  <c r="I104" i="335" s="1"/>
  <c r="J104" i="335" s="1"/>
  <c r="K103" i="335"/>
  <c r="G103" i="335"/>
  <c r="F103" i="335"/>
  <c r="E103" i="335"/>
  <c r="D103" i="335"/>
  <c r="C103" i="335"/>
  <c r="K102" i="335"/>
  <c r="H102" i="335"/>
  <c r="I102" i="335" s="1"/>
  <c r="J102" i="335" s="1"/>
  <c r="I101" i="335"/>
  <c r="J101" i="335" s="1"/>
  <c r="K100" i="335"/>
  <c r="H100" i="335"/>
  <c r="I100" i="335" s="1"/>
  <c r="J100" i="335" s="1"/>
  <c r="G99" i="335"/>
  <c r="F99" i="335"/>
  <c r="E99" i="335"/>
  <c r="D99" i="335"/>
  <c r="C99" i="335"/>
  <c r="K98" i="335"/>
  <c r="I98" i="335"/>
  <c r="J98" i="335" s="1"/>
  <c r="K97" i="335"/>
  <c r="I97" i="335"/>
  <c r="J97" i="335" s="1"/>
  <c r="K96" i="335"/>
  <c r="I96" i="335"/>
  <c r="J96" i="335" s="1"/>
  <c r="K95" i="335"/>
  <c r="I95" i="335"/>
  <c r="J95" i="335" s="1"/>
  <c r="K94" i="335"/>
  <c r="I94" i="335"/>
  <c r="J94" i="335" s="1"/>
  <c r="K93" i="335"/>
  <c r="I93" i="335"/>
  <c r="J93" i="335" s="1"/>
  <c r="K92" i="335"/>
  <c r="I92" i="335"/>
  <c r="J92" i="335" s="1"/>
  <c r="K91" i="335"/>
  <c r="I91" i="335"/>
  <c r="J91" i="335" s="1"/>
  <c r="K90" i="335"/>
  <c r="I90" i="335"/>
  <c r="J90" i="335" s="1"/>
  <c r="K89" i="335"/>
  <c r="I89" i="335"/>
  <c r="J89" i="335" s="1"/>
  <c r="K88" i="335"/>
  <c r="I88" i="335"/>
  <c r="J88" i="335" s="1"/>
  <c r="K87" i="335"/>
  <c r="I87" i="335"/>
  <c r="J87" i="335" s="1"/>
  <c r="K86" i="335"/>
  <c r="I86" i="335"/>
  <c r="J86" i="335" s="1"/>
  <c r="K85" i="335"/>
  <c r="I85" i="335"/>
  <c r="J85" i="335" s="1"/>
  <c r="K84" i="335"/>
  <c r="I84" i="335"/>
  <c r="J84" i="335" s="1"/>
  <c r="K83" i="335"/>
  <c r="I83" i="335"/>
  <c r="J83" i="335" s="1"/>
  <c r="K82" i="335"/>
  <c r="I82" i="335"/>
  <c r="J82" i="335" s="1"/>
  <c r="K81" i="335"/>
  <c r="I81" i="335"/>
  <c r="J81" i="335" s="1"/>
  <c r="K80" i="335"/>
  <c r="I80" i="335"/>
  <c r="J80" i="335" s="1"/>
  <c r="K79" i="335"/>
  <c r="I79" i="335"/>
  <c r="J79" i="335" s="1"/>
  <c r="K78" i="335"/>
  <c r="I77" i="335"/>
  <c r="J77" i="335" s="1"/>
  <c r="G76" i="335"/>
  <c r="F76" i="335"/>
  <c r="E76" i="335"/>
  <c r="D76" i="335"/>
  <c r="C76" i="335"/>
  <c r="C75" i="335" s="1"/>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H52" i="335"/>
  <c r="I52" i="335" s="1"/>
  <c r="J52" i="335" s="1"/>
  <c r="I51" i="335"/>
  <c r="J51" i="335" s="1"/>
  <c r="I50" i="335"/>
  <c r="J50" i="335" s="1"/>
  <c r="I49" i="335"/>
  <c r="J49" i="335" s="1"/>
  <c r="I48" i="335"/>
  <c r="J48" i="335" s="1"/>
  <c r="I47" i="335"/>
  <c r="J47" i="335" s="1"/>
  <c r="I46" i="335"/>
  <c r="J46" i="335" s="1"/>
  <c r="K45" i="335"/>
  <c r="G45" i="335"/>
  <c r="F45" i="335"/>
  <c r="E45" i="335"/>
  <c r="D45" i="335"/>
  <c r="C45" i="335"/>
  <c r="I44" i="335"/>
  <c r="J44" i="335" s="1"/>
  <c r="I43" i="335"/>
  <c r="J43" i="335" s="1"/>
  <c r="I42" i="335"/>
  <c r="J42" i="335" s="1"/>
  <c r="I41" i="335"/>
  <c r="J41" i="335" s="1"/>
  <c r="I40" i="335"/>
  <c r="J40" i="335" s="1"/>
  <c r="I39" i="335"/>
  <c r="J39" i="335" s="1"/>
  <c r="K38" i="335"/>
  <c r="G38" i="335"/>
  <c r="F38" i="335"/>
  <c r="E38" i="335"/>
  <c r="D38" i="335"/>
  <c r="C38" i="335"/>
  <c r="H37" i="335"/>
  <c r="I37" i="335" s="1"/>
  <c r="J37" i="335" s="1"/>
  <c r="H36" i="335"/>
  <c r="I36" i="335" s="1"/>
  <c r="J36" i="335" s="1"/>
  <c r="I35" i="335"/>
  <c r="J35" i="335" s="1"/>
  <c r="H34" i="335"/>
  <c r="I34" i="335" s="1"/>
  <c r="J34" i="335" s="1"/>
  <c r="H33" i="335"/>
  <c r="I33" i="335" s="1"/>
  <c r="J33" i="335" s="1"/>
  <c r="H32" i="335"/>
  <c r="I32" i="335" s="1"/>
  <c r="J32" i="335" s="1"/>
  <c r="H31" i="335"/>
  <c r="I31" i="335" s="1"/>
  <c r="J31" i="335" s="1"/>
  <c r="H30" i="335"/>
  <c r="I30" i="335" s="1"/>
  <c r="J30" i="335" s="1"/>
  <c r="H29" i="335"/>
  <c r="I29" i="335" s="1"/>
  <c r="J29" i="335" s="1"/>
  <c r="H28" i="335"/>
  <c r="I28" i="335" s="1"/>
  <c r="J28" i="335" s="1"/>
  <c r="K27" i="335"/>
  <c r="G27" i="335"/>
  <c r="F27" i="335"/>
  <c r="E27" i="335"/>
  <c r="D27" i="335"/>
  <c r="C27" i="335"/>
  <c r="H26" i="335"/>
  <c r="I26" i="335" s="1"/>
  <c r="J26" i="335" s="1"/>
  <c r="H25" i="335"/>
  <c r="I25" i="335" s="1"/>
  <c r="J25" i="335" s="1"/>
  <c r="H24" i="335"/>
  <c r="I24" i="335" s="1"/>
  <c r="J24" i="335" s="1"/>
  <c r="H23" i="335"/>
  <c r="I23" i="335" s="1"/>
  <c r="J23" i="335" s="1"/>
  <c r="H22" i="335"/>
  <c r="I22" i="335" s="1"/>
  <c r="J22" i="335" s="1"/>
  <c r="I21" i="335"/>
  <c r="J21" i="335" s="1"/>
  <c r="H20" i="335"/>
  <c r="I20" i="335" s="1"/>
  <c r="J20" i="335" s="1"/>
  <c r="H19" i="335"/>
  <c r="I19" i="335" s="1"/>
  <c r="J19" i="335" s="1"/>
  <c r="K18" i="335"/>
  <c r="K17" i="335" s="1"/>
  <c r="I18" i="335"/>
  <c r="J18" i="335" s="1"/>
  <c r="G17" i="335"/>
  <c r="F17" i="335"/>
  <c r="E17" i="335"/>
  <c r="D17" i="335"/>
  <c r="C17" i="335"/>
  <c r="I16" i="335"/>
  <c r="J16" i="335" s="1"/>
  <c r="I15" i="335"/>
  <c r="J15" i="335" s="1"/>
  <c r="I14" i="335"/>
  <c r="J14" i="335" s="1"/>
  <c r="K13" i="335"/>
  <c r="H13" i="335"/>
  <c r="I13" i="335" s="1"/>
  <c r="J13" i="335" s="1"/>
  <c r="G13" i="335"/>
  <c r="F13" i="335"/>
  <c r="E13" i="335"/>
  <c r="D13" i="335"/>
  <c r="C13" i="335"/>
  <c r="H12" i="335"/>
  <c r="I12" i="335" s="1"/>
  <c r="J12" i="335" s="1"/>
  <c r="H11" i="335"/>
  <c r="I11" i="335" s="1"/>
  <c r="J11" i="335" s="1"/>
  <c r="I10" i="335"/>
  <c r="J10" i="335" s="1"/>
  <c r="H10" i="335"/>
  <c r="K8" i="335"/>
  <c r="I9" i="335"/>
  <c r="J9" i="335" s="1"/>
  <c r="G8" i="335"/>
  <c r="F8" i="335"/>
  <c r="E8" i="335"/>
  <c r="D8" i="335"/>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K158" i="333"/>
  <c r="K157" i="333" s="1"/>
  <c r="I158" i="333"/>
  <c r="J158" i="333" s="1"/>
  <c r="H157" i="333"/>
  <c r="F157" i="333"/>
  <c r="E157" i="333"/>
  <c r="D157" i="333"/>
  <c r="C157" i="333"/>
  <c r="K155" i="333"/>
  <c r="K154" i="333" s="1"/>
  <c r="I155" i="333"/>
  <c r="J155" i="333" s="1"/>
  <c r="H154" i="333"/>
  <c r="F154" i="333"/>
  <c r="E154" i="333"/>
  <c r="D154" i="333"/>
  <c r="C154" i="333"/>
  <c r="J153" i="333"/>
  <c r="K152" i="333"/>
  <c r="K151" i="333" s="1"/>
  <c r="I152" i="333"/>
  <c r="J152" i="333" s="1"/>
  <c r="H151" i="333"/>
  <c r="F151" i="333"/>
  <c r="E151" i="333"/>
  <c r="D151" i="333"/>
  <c r="C151" i="333"/>
  <c r="K149" i="333"/>
  <c r="K148" i="333" s="1"/>
  <c r="G148" i="333"/>
  <c r="H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K133" i="333"/>
  <c r="G133" i="333"/>
  <c r="I133" i="333" s="1"/>
  <c r="J133" i="333" s="1"/>
  <c r="K132" i="333"/>
  <c r="I132" i="333"/>
  <c r="J132" i="333" s="1"/>
  <c r="K131" i="333"/>
  <c r="I131" i="333"/>
  <c r="J131" i="333" s="1"/>
  <c r="H130" i="333"/>
  <c r="F130" i="333"/>
  <c r="E130" i="333"/>
  <c r="D130" i="333"/>
  <c r="C130" i="333"/>
  <c r="K129" i="333"/>
  <c r="I129" i="333"/>
  <c r="J129" i="333" s="1"/>
  <c r="K128" i="333"/>
  <c r="I128" i="333"/>
  <c r="J128" i="333" s="1"/>
  <c r="K127" i="333"/>
  <c r="I127" i="333"/>
  <c r="J127" i="333" s="1"/>
  <c r="K126" i="333"/>
  <c r="I126" i="333"/>
  <c r="J126" i="333" s="1"/>
  <c r="K125" i="333"/>
  <c r="I125" i="333"/>
  <c r="J125" i="333" s="1"/>
  <c r="K124" i="333"/>
  <c r="I124" i="333"/>
  <c r="J124" i="333" s="1"/>
  <c r="K123" i="333"/>
  <c r="I123" i="333"/>
  <c r="J123" i="333" s="1"/>
  <c r="K122" i="333"/>
  <c r="I122" i="333"/>
  <c r="J122" i="333" s="1"/>
  <c r="K121" i="333"/>
  <c r="I121" i="333"/>
  <c r="J121" i="333" s="1"/>
  <c r="K120" i="333"/>
  <c r="I120" i="333"/>
  <c r="J120" i="333" s="1"/>
  <c r="K119" i="333"/>
  <c r="I119" i="333"/>
  <c r="J119" i="333" s="1"/>
  <c r="H118" i="333"/>
  <c r="F118" i="333"/>
  <c r="E118" i="333"/>
  <c r="D118" i="333"/>
  <c r="D117" i="333" s="1"/>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K102" i="333"/>
  <c r="G102" i="333"/>
  <c r="I102" i="333" s="1"/>
  <c r="J102" i="333" s="1"/>
  <c r="K101" i="333"/>
  <c r="I101" i="333"/>
  <c r="J101" i="333" s="1"/>
  <c r="K100" i="333"/>
  <c r="I100" i="333"/>
  <c r="J100" i="333" s="1"/>
  <c r="H99" i="333"/>
  <c r="F99" i="333"/>
  <c r="E99" i="333"/>
  <c r="D99" i="333"/>
  <c r="C99" i="333"/>
  <c r="K98" i="333"/>
  <c r="I98" i="333"/>
  <c r="J98" i="333" s="1"/>
  <c r="K97" i="333"/>
  <c r="I97" i="333"/>
  <c r="J97" i="333" s="1"/>
  <c r="K96" i="333"/>
  <c r="I96" i="333"/>
  <c r="J96" i="333" s="1"/>
  <c r="K95" i="333"/>
  <c r="I95" i="333"/>
  <c r="J95" i="333" s="1"/>
  <c r="K94" i="333"/>
  <c r="I94" i="333"/>
  <c r="J94" i="333" s="1"/>
  <c r="K93" i="333"/>
  <c r="I93" i="333"/>
  <c r="J93" i="333" s="1"/>
  <c r="K92" i="333"/>
  <c r="I92" i="333"/>
  <c r="J92" i="333" s="1"/>
  <c r="K91" i="333"/>
  <c r="I91" i="333"/>
  <c r="J91" i="333" s="1"/>
  <c r="K90" i="333"/>
  <c r="I90" i="333"/>
  <c r="J90" i="333" s="1"/>
  <c r="K89" i="333"/>
  <c r="I89" i="333"/>
  <c r="J89" i="333" s="1"/>
  <c r="K88" i="333"/>
  <c r="I88" i="333"/>
  <c r="J88" i="333" s="1"/>
  <c r="K87" i="333"/>
  <c r="I87" i="333"/>
  <c r="J87" i="333" s="1"/>
  <c r="K86" i="333"/>
  <c r="I86" i="333"/>
  <c r="J86" i="333" s="1"/>
  <c r="K85" i="333"/>
  <c r="I85" i="333"/>
  <c r="J85" i="333" s="1"/>
  <c r="K84" i="333"/>
  <c r="I84" i="333"/>
  <c r="J84" i="333" s="1"/>
  <c r="K83" i="333"/>
  <c r="I83" i="333"/>
  <c r="J83" i="333" s="1"/>
  <c r="K82" i="333"/>
  <c r="I82" i="333"/>
  <c r="J82" i="333" s="1"/>
  <c r="K81" i="333"/>
  <c r="I81" i="333"/>
  <c r="J81" i="333" s="1"/>
  <c r="K80" i="333"/>
  <c r="I80" i="333"/>
  <c r="J80" i="333" s="1"/>
  <c r="K79" i="333"/>
  <c r="I79" i="333"/>
  <c r="J79" i="333" s="1"/>
  <c r="K78" i="333"/>
  <c r="I78" i="333"/>
  <c r="J78" i="333" s="1"/>
  <c r="K77" i="333"/>
  <c r="I77" i="333"/>
  <c r="J77" i="333" s="1"/>
  <c r="H76" i="333"/>
  <c r="F76" i="333"/>
  <c r="E76" i="333"/>
  <c r="D76" i="333"/>
  <c r="C76" i="333"/>
  <c r="J74" i="333"/>
  <c r="K73" i="333"/>
  <c r="I73" i="333"/>
  <c r="J73" i="333" s="1"/>
  <c r="K72" i="333"/>
  <c r="I72" i="333"/>
  <c r="J72" i="333" s="1"/>
  <c r="K71" i="333"/>
  <c r="I71" i="333"/>
  <c r="J71" i="333" s="1"/>
  <c r="K70" i="333"/>
  <c r="I70" i="333"/>
  <c r="J70" i="333" s="1"/>
  <c r="H69" i="333"/>
  <c r="F69" i="333"/>
  <c r="E69" i="333"/>
  <c r="D69" i="333"/>
  <c r="C69" i="333"/>
  <c r="I68" i="333"/>
  <c r="J68" i="333" s="1"/>
  <c r="I67" i="333"/>
  <c r="J67" i="333" s="1"/>
  <c r="I66" i="333"/>
  <c r="J66" i="333" s="1"/>
  <c r="J65" i="333"/>
  <c r="I65" i="333"/>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I53" i="333" s="1"/>
  <c r="J53" i="333" s="1"/>
  <c r="G53" i="333"/>
  <c r="F53" i="333"/>
  <c r="E53" i="333"/>
  <c r="D53" i="333"/>
  <c r="C53" i="333"/>
  <c r="K52" i="333"/>
  <c r="G52" i="333"/>
  <c r="I52" i="333" s="1"/>
  <c r="J52" i="333" s="1"/>
  <c r="K51" i="333"/>
  <c r="G51" i="333"/>
  <c r="I51" i="333" s="1"/>
  <c r="J51" i="333" s="1"/>
  <c r="K50" i="333"/>
  <c r="G50" i="333"/>
  <c r="I50" i="333" s="1"/>
  <c r="J50" i="333" s="1"/>
  <c r="K49" i="333"/>
  <c r="G49" i="333"/>
  <c r="I49" i="333" s="1"/>
  <c r="J49" i="333" s="1"/>
  <c r="K48" i="333"/>
  <c r="I48" i="333"/>
  <c r="J48" i="333" s="1"/>
  <c r="K47" i="333"/>
  <c r="I47" i="333"/>
  <c r="J47" i="333" s="1"/>
  <c r="K46" i="333"/>
  <c r="H45" i="333"/>
  <c r="F45" i="333"/>
  <c r="E45" i="333"/>
  <c r="D45" i="333"/>
  <c r="C45" i="333"/>
  <c r="K44" i="333"/>
  <c r="G44" i="333"/>
  <c r="I44" i="333" s="1"/>
  <c r="J44" i="333" s="1"/>
  <c r="K43" i="333"/>
  <c r="I43" i="333"/>
  <c r="J43" i="333" s="1"/>
  <c r="K42" i="333"/>
  <c r="I42" i="333"/>
  <c r="J42" i="333" s="1"/>
  <c r="K41" i="333"/>
  <c r="I41" i="333"/>
  <c r="J41" i="333" s="1"/>
  <c r="K40" i="333"/>
  <c r="I40" i="333"/>
  <c r="J40" i="333" s="1"/>
  <c r="K39" i="333"/>
  <c r="H38" i="333"/>
  <c r="F38" i="333"/>
  <c r="E38" i="333"/>
  <c r="D38" i="333"/>
  <c r="C38" i="333"/>
  <c r="K37" i="333"/>
  <c r="I37" i="333"/>
  <c r="J37" i="333" s="1"/>
  <c r="K36" i="333"/>
  <c r="I36" i="333"/>
  <c r="J36" i="333" s="1"/>
  <c r="K35" i="333"/>
  <c r="I35" i="333"/>
  <c r="J35" i="333" s="1"/>
  <c r="K34" i="333"/>
  <c r="I34" i="333"/>
  <c r="J34" i="333" s="1"/>
  <c r="K33" i="333"/>
  <c r="I33" i="333"/>
  <c r="J33" i="333" s="1"/>
  <c r="K32" i="333"/>
  <c r="I32" i="333"/>
  <c r="J32" i="333" s="1"/>
  <c r="K31" i="333"/>
  <c r="I31" i="333"/>
  <c r="J31" i="333" s="1"/>
  <c r="K30" i="333"/>
  <c r="I30" i="333"/>
  <c r="J30" i="333" s="1"/>
  <c r="K29" i="333"/>
  <c r="I29" i="333"/>
  <c r="J29" i="333" s="1"/>
  <c r="K28" i="333"/>
  <c r="I28" i="333"/>
  <c r="J28" i="333" s="1"/>
  <c r="H27" i="333"/>
  <c r="F27" i="333"/>
  <c r="E27" i="333"/>
  <c r="D27" i="333"/>
  <c r="C27" i="333"/>
  <c r="K26" i="333"/>
  <c r="G26" i="333"/>
  <c r="I26" i="333" s="1"/>
  <c r="J26" i="333" s="1"/>
  <c r="K25" i="333"/>
  <c r="I25" i="333"/>
  <c r="J25" i="333" s="1"/>
  <c r="K24" i="333"/>
  <c r="I24" i="333"/>
  <c r="J24" i="333" s="1"/>
  <c r="K23" i="333"/>
  <c r="I23" i="333"/>
  <c r="J23" i="333" s="1"/>
  <c r="K22" i="333"/>
  <c r="I22" i="333"/>
  <c r="J22" i="333" s="1"/>
  <c r="K21" i="333"/>
  <c r="I21" i="333"/>
  <c r="J21" i="333" s="1"/>
  <c r="K20" i="333"/>
  <c r="I20" i="333"/>
  <c r="J20" i="333" s="1"/>
  <c r="K19" i="333"/>
  <c r="I19" i="333"/>
  <c r="J19" i="333" s="1"/>
  <c r="K18" i="333"/>
  <c r="G18" i="333"/>
  <c r="H17" i="333"/>
  <c r="F17" i="333"/>
  <c r="E17" i="333"/>
  <c r="D17" i="333"/>
  <c r="C17" i="333"/>
  <c r="K16" i="333"/>
  <c r="G16" i="333"/>
  <c r="I16" i="333" s="1"/>
  <c r="J16" i="333" s="1"/>
  <c r="K15" i="333"/>
  <c r="I15" i="333"/>
  <c r="J15" i="333" s="1"/>
  <c r="K14" i="333"/>
  <c r="G14" i="333"/>
  <c r="I14" i="333" s="1"/>
  <c r="J14" i="333" s="1"/>
  <c r="H13" i="333"/>
  <c r="F13" i="333"/>
  <c r="E13" i="333"/>
  <c r="D13" i="333"/>
  <c r="C13" i="333"/>
  <c r="K12" i="333"/>
  <c r="G12" i="333"/>
  <c r="I12" i="333" s="1"/>
  <c r="J12" i="333" s="1"/>
  <c r="K11" i="333"/>
  <c r="I11" i="333"/>
  <c r="J11" i="333" s="1"/>
  <c r="K10" i="333"/>
  <c r="I10" i="333"/>
  <c r="J10" i="333" s="1"/>
  <c r="K9" i="333"/>
  <c r="I9" i="333"/>
  <c r="J9" i="333" s="1"/>
  <c r="H8" i="333"/>
  <c r="F8" i="333"/>
  <c r="E8" i="333"/>
  <c r="D8" i="333"/>
  <c r="C8" i="333"/>
  <c r="K3" i="333"/>
  <c r="J3" i="333"/>
  <c r="I3" i="333"/>
  <c r="H3" i="333"/>
  <c r="G3" i="333"/>
  <c r="F3" i="333"/>
  <c r="E3" i="333"/>
  <c r="D3" i="333"/>
  <c r="C3" i="333"/>
  <c r="B2" i="333"/>
  <c r="A2" i="333"/>
  <c r="J165" i="325"/>
  <c r="I164" i="325"/>
  <c r="J164" i="325" s="1"/>
  <c r="K163" i="325"/>
  <c r="H163" i="325"/>
  <c r="G163" i="325"/>
  <c r="F163" i="325"/>
  <c r="E163" i="325"/>
  <c r="D163" i="325"/>
  <c r="C163" i="325"/>
  <c r="I161" i="325"/>
  <c r="J161" i="325" s="1"/>
  <c r="K160" i="325"/>
  <c r="H160" i="325"/>
  <c r="G160" i="325"/>
  <c r="F160" i="325"/>
  <c r="E160" i="325"/>
  <c r="D160" i="325"/>
  <c r="C160" i="325"/>
  <c r="K157" i="325"/>
  <c r="I158" i="325"/>
  <c r="J158" i="325" s="1"/>
  <c r="H157" i="325"/>
  <c r="G157" i="325"/>
  <c r="F157" i="325"/>
  <c r="E157" i="325"/>
  <c r="D157" i="325"/>
  <c r="C157" i="325"/>
  <c r="K154" i="325"/>
  <c r="I155" i="325"/>
  <c r="J155" i="325" s="1"/>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K146" i="325"/>
  <c r="I146" i="325"/>
  <c r="J146" i="325" s="1"/>
  <c r="K145" i="325"/>
  <c r="I145" i="325"/>
  <c r="J145" i="325" s="1"/>
  <c r="I144" i="325"/>
  <c r="J144" i="325" s="1"/>
  <c r="K143" i="325"/>
  <c r="I143" i="325"/>
  <c r="J143" i="325" s="1"/>
  <c r="K142" i="325"/>
  <c r="I142" i="325"/>
  <c r="J142" i="325" s="1"/>
  <c r="K141" i="325"/>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K128" i="325"/>
  <c r="I128" i="325"/>
  <c r="J128" i="325" s="1"/>
  <c r="K127" i="325"/>
  <c r="I127" i="325"/>
  <c r="J127" i="325" s="1"/>
  <c r="K126" i="325"/>
  <c r="I126" i="325"/>
  <c r="J126" i="325" s="1"/>
  <c r="K125" i="325"/>
  <c r="I125" i="325"/>
  <c r="J125" i="325" s="1"/>
  <c r="K124" i="325"/>
  <c r="I124" i="325"/>
  <c r="J124" i="325" s="1"/>
  <c r="K123" i="325"/>
  <c r="I123" i="325"/>
  <c r="J123" i="325" s="1"/>
  <c r="K122" i="325"/>
  <c r="I122" i="325"/>
  <c r="J122" i="325" s="1"/>
  <c r="K121" i="325"/>
  <c r="I121" i="325"/>
  <c r="J121" i="325" s="1"/>
  <c r="K120" i="325"/>
  <c r="I120" i="325"/>
  <c r="J120" i="325" s="1"/>
  <c r="I119" i="325"/>
  <c r="J119" i="325" s="1"/>
  <c r="G118" i="325"/>
  <c r="F118" i="325"/>
  <c r="E118" i="325"/>
  <c r="D118" i="325"/>
  <c r="C118" i="325"/>
  <c r="C117" i="325" s="1"/>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H108" i="325"/>
  <c r="I108" i="325" s="1"/>
  <c r="J108" i="325" s="1"/>
  <c r="H107" i="325"/>
  <c r="I107" i="325" s="1"/>
  <c r="J107" i="325" s="1"/>
  <c r="K106" i="325"/>
  <c r="H106" i="325"/>
  <c r="I106" i="325" s="1"/>
  <c r="J106" i="325" s="1"/>
  <c r="K105" i="325"/>
  <c r="H105" i="325"/>
  <c r="I105" i="325" s="1"/>
  <c r="J105" i="325" s="1"/>
  <c r="I104" i="325"/>
  <c r="J104" i="325" s="1"/>
  <c r="G103" i="325"/>
  <c r="F103" i="325"/>
  <c r="E103" i="325"/>
  <c r="D103" i="325"/>
  <c r="C103" i="325"/>
  <c r="K102" i="325"/>
  <c r="K101" i="325"/>
  <c r="I101" i="325"/>
  <c r="J101" i="325" s="1"/>
  <c r="I100" i="325"/>
  <c r="J100"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K62" i="325"/>
  <c r="H62" i="325"/>
  <c r="I62" i="325" s="1"/>
  <c r="J62" i="325" s="1"/>
  <c r="K61" i="325"/>
  <c r="H61" i="325"/>
  <c r="I61" i="325" s="1"/>
  <c r="J61" i="325" s="1"/>
  <c r="K60" i="325"/>
  <c r="H60" i="325"/>
  <c r="I60" i="325" s="1"/>
  <c r="J60" i="325" s="1"/>
  <c r="K59" i="325"/>
  <c r="H59" i="325"/>
  <c r="I59" i="325" s="1"/>
  <c r="J59" i="325" s="1"/>
  <c r="K58" i="325"/>
  <c r="H58" i="325"/>
  <c r="I58" i="325" s="1"/>
  <c r="J58" i="325" s="1"/>
  <c r="K57" i="325"/>
  <c r="H57" i="325"/>
  <c r="I57" i="325" s="1"/>
  <c r="J57" i="325" s="1"/>
  <c r="K56" i="325"/>
  <c r="H56" i="325"/>
  <c r="I56" i="325" s="1"/>
  <c r="J56" i="325" s="1"/>
  <c r="K55" i="325"/>
  <c r="H55" i="325"/>
  <c r="I55" i="325" s="1"/>
  <c r="J55" i="325" s="1"/>
  <c r="K54" i="325"/>
  <c r="H54" i="325"/>
  <c r="G53" i="325"/>
  <c r="F53" i="325"/>
  <c r="E53" i="325"/>
  <c r="D53" i="325"/>
  <c r="C53" i="325"/>
  <c r="I52" i="325"/>
  <c r="J52" i="325" s="1"/>
  <c r="I51" i="325"/>
  <c r="J51" i="325" s="1"/>
  <c r="I50" i="325"/>
  <c r="J50" i="325" s="1"/>
  <c r="I49" i="325"/>
  <c r="J49" i="325" s="1"/>
  <c r="I48" i="325"/>
  <c r="J48" i="325" s="1"/>
  <c r="K47" i="325"/>
  <c r="I47" i="325"/>
  <c r="J47" i="325" s="1"/>
  <c r="K46" i="325"/>
  <c r="I46" i="325"/>
  <c r="J46" i="325" s="1"/>
  <c r="G45" i="325"/>
  <c r="F45" i="325"/>
  <c r="E45" i="325"/>
  <c r="D45" i="325"/>
  <c r="C45" i="325"/>
  <c r="K44" i="325"/>
  <c r="I44" i="325"/>
  <c r="J44" i="325" s="1"/>
  <c r="K43" i="325"/>
  <c r="I43" i="325"/>
  <c r="J43" i="325" s="1"/>
  <c r="K42" i="325"/>
  <c r="I42" i="325"/>
  <c r="J42" i="325" s="1"/>
  <c r="I41" i="325"/>
  <c r="J41" i="325" s="1"/>
  <c r="I40" i="325"/>
  <c r="J40"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H27" i="325"/>
  <c r="K27" i="325"/>
  <c r="G27" i="325"/>
  <c r="F27" i="325"/>
  <c r="E27" i="325"/>
  <c r="D27" i="325"/>
  <c r="C27" i="325"/>
  <c r="I26" i="325"/>
  <c r="J26" i="325" s="1"/>
  <c r="K25" i="325"/>
  <c r="I25" i="325"/>
  <c r="J25" i="325" s="1"/>
  <c r="K24" i="325"/>
  <c r="I24" i="325"/>
  <c r="J24" i="325" s="1"/>
  <c r="K23" i="325"/>
  <c r="I23" i="325"/>
  <c r="J23" i="325" s="1"/>
  <c r="K22" i="325"/>
  <c r="I22" i="325"/>
  <c r="J22" i="325" s="1"/>
  <c r="K21" i="325"/>
  <c r="I21" i="325"/>
  <c r="J21" i="325" s="1"/>
  <c r="K20" i="325"/>
  <c r="I20" i="325"/>
  <c r="J20" i="325" s="1"/>
  <c r="K19" i="325"/>
  <c r="I19" i="325"/>
  <c r="J19" i="325" s="1"/>
  <c r="K18" i="325"/>
  <c r="I18" i="325"/>
  <c r="J18" i="325" s="1"/>
  <c r="G17" i="325"/>
  <c r="F17" i="325"/>
  <c r="E17" i="325"/>
  <c r="D17" i="325"/>
  <c r="C17" i="325"/>
  <c r="K16" i="325"/>
  <c r="H16" i="325"/>
  <c r="I16" i="325" s="1"/>
  <c r="J16" i="325" s="1"/>
  <c r="K15" i="325"/>
  <c r="H15" i="325"/>
  <c r="I15" i="325" s="1"/>
  <c r="J15" i="325" s="1"/>
  <c r="I14" i="325"/>
  <c r="J14" i="325" s="1"/>
  <c r="G13" i="325"/>
  <c r="F13" i="325"/>
  <c r="E13" i="325"/>
  <c r="D13" i="325"/>
  <c r="C13" i="325"/>
  <c r="I12" i="325"/>
  <c r="J12" i="325" s="1"/>
  <c r="I11" i="325"/>
  <c r="J11" i="325" s="1"/>
  <c r="I10" i="325"/>
  <c r="J10" i="325" s="1"/>
  <c r="I9" i="325"/>
  <c r="J9" i="325" s="1"/>
  <c r="H8" i="325"/>
  <c r="K8" i="325"/>
  <c r="G8" i="325"/>
  <c r="F8" i="325"/>
  <c r="E8" i="325"/>
  <c r="D8" i="325"/>
  <c r="C8" i="325"/>
  <c r="K3" i="325"/>
  <c r="J3" i="325"/>
  <c r="I3" i="325"/>
  <c r="H3" i="325"/>
  <c r="G3" i="325"/>
  <c r="F3" i="325"/>
  <c r="E3" i="325"/>
  <c r="D3" i="325"/>
  <c r="C3" i="325"/>
  <c r="B2" i="325"/>
  <c r="A2" i="325"/>
  <c r="A168" i="326"/>
  <c r="J165" i="326"/>
  <c r="I164" i="326"/>
  <c r="J164" i="326" s="1"/>
  <c r="K163" i="326"/>
  <c r="H163" i="326"/>
  <c r="G163" i="326"/>
  <c r="F163" i="326"/>
  <c r="E163" i="326"/>
  <c r="D163" i="326"/>
  <c r="C163" i="326"/>
  <c r="I161" i="326"/>
  <c r="J161" i="326" s="1"/>
  <c r="K160" i="326"/>
  <c r="H160" i="326"/>
  <c r="I160" i="326" s="1"/>
  <c r="J160" i="326" s="1"/>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H129" i="326"/>
  <c r="I129" i="326" s="1"/>
  <c r="J129" i="326" s="1"/>
  <c r="H128" i="326"/>
  <c r="I128" i="326" s="1"/>
  <c r="J128" i="326" s="1"/>
  <c r="H127" i="326"/>
  <c r="I127" i="326" s="1"/>
  <c r="J127" i="326" s="1"/>
  <c r="H126" i="326"/>
  <c r="I126" i="326" s="1"/>
  <c r="J126" i="326" s="1"/>
  <c r="H125" i="326"/>
  <c r="I125" i="326" s="1"/>
  <c r="J125" i="326" s="1"/>
  <c r="H124" i="326"/>
  <c r="I124" i="326" s="1"/>
  <c r="J124" i="326" s="1"/>
  <c r="H123" i="326"/>
  <c r="I123" i="326" s="1"/>
  <c r="J123" i="326" s="1"/>
  <c r="H122" i="326"/>
  <c r="I122" i="326" s="1"/>
  <c r="J122" i="326" s="1"/>
  <c r="H121" i="326"/>
  <c r="I121" i="326" s="1"/>
  <c r="J121" i="326" s="1"/>
  <c r="I120" i="326"/>
  <c r="J120" i="326" s="1"/>
  <c r="H120" i="326"/>
  <c r="K118" i="326"/>
  <c r="I119" i="326"/>
  <c r="J119" i="326" s="1"/>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K110" i="326" s="1"/>
  <c r="H111" i="326"/>
  <c r="G111" i="326"/>
  <c r="G110" i="326" s="1"/>
  <c r="F111" i="326"/>
  <c r="E111" i="326"/>
  <c r="D111" i="326"/>
  <c r="C111" i="326"/>
  <c r="C110" i="326" s="1"/>
  <c r="I109" i="326"/>
  <c r="J109" i="326" s="1"/>
  <c r="I108" i="326"/>
  <c r="J108" i="326" s="1"/>
  <c r="H107" i="326"/>
  <c r="I107" i="326" s="1"/>
  <c r="J107" i="326" s="1"/>
  <c r="H106" i="326"/>
  <c r="I106" i="326" s="1"/>
  <c r="J106" i="326" s="1"/>
  <c r="H105" i="326"/>
  <c r="I105" i="326" s="1"/>
  <c r="J105" i="326" s="1"/>
  <c r="H104" i="326"/>
  <c r="I104" i="326" s="1"/>
  <c r="J104" i="326" s="1"/>
  <c r="K103" i="326"/>
  <c r="G103" i="326"/>
  <c r="F103" i="326"/>
  <c r="E103" i="326"/>
  <c r="D103" i="326"/>
  <c r="C103" i="326"/>
  <c r="K102" i="326"/>
  <c r="I102" i="326"/>
  <c r="J102" i="326" s="1"/>
  <c r="H101" i="326"/>
  <c r="I101" i="326" s="1"/>
  <c r="J101" i="326" s="1"/>
  <c r="I100" i="326"/>
  <c r="J100" i="326" s="1"/>
  <c r="K99" i="326"/>
  <c r="G99" i="326"/>
  <c r="F99" i="326"/>
  <c r="E99" i="326"/>
  <c r="D99" i="326"/>
  <c r="C99" i="326"/>
  <c r="I98" i="326"/>
  <c r="J98" i="326" s="1"/>
  <c r="H97" i="326"/>
  <c r="I97" i="326" s="1"/>
  <c r="J97" i="326" s="1"/>
  <c r="H96" i="326"/>
  <c r="I96" i="326" s="1"/>
  <c r="J96" i="326" s="1"/>
  <c r="H95" i="326"/>
  <c r="I95" i="326" s="1"/>
  <c r="J95" i="326" s="1"/>
  <c r="H94" i="326"/>
  <c r="I94" i="326" s="1"/>
  <c r="J94" i="326" s="1"/>
  <c r="H93" i="326"/>
  <c r="I93" i="326" s="1"/>
  <c r="J93" i="326" s="1"/>
  <c r="H92" i="326"/>
  <c r="I92" i="326" s="1"/>
  <c r="J92" i="326" s="1"/>
  <c r="H91" i="326"/>
  <c r="I91" i="326" s="1"/>
  <c r="J91" i="326" s="1"/>
  <c r="H90" i="326"/>
  <c r="I90" i="326" s="1"/>
  <c r="J90" i="326" s="1"/>
  <c r="H89" i="326"/>
  <c r="I89" i="326" s="1"/>
  <c r="J89" i="326" s="1"/>
  <c r="H88" i="326"/>
  <c r="I88" i="326" s="1"/>
  <c r="J88" i="326" s="1"/>
  <c r="H87" i="326"/>
  <c r="I87" i="326" s="1"/>
  <c r="J87" i="326" s="1"/>
  <c r="I86" i="326"/>
  <c r="J86" i="326" s="1"/>
  <c r="H85" i="326"/>
  <c r="I85" i="326" s="1"/>
  <c r="J85" i="326" s="1"/>
  <c r="H84" i="326"/>
  <c r="I84" i="326" s="1"/>
  <c r="J84" i="326" s="1"/>
  <c r="H83" i="326"/>
  <c r="I83" i="326" s="1"/>
  <c r="J83" i="326" s="1"/>
  <c r="H82" i="326"/>
  <c r="I82" i="326" s="1"/>
  <c r="J82" i="326" s="1"/>
  <c r="H81" i="326"/>
  <c r="I81" i="326" s="1"/>
  <c r="J81" i="326" s="1"/>
  <c r="H80" i="326"/>
  <c r="I80" i="326" s="1"/>
  <c r="J80" i="326" s="1"/>
  <c r="I79" i="326"/>
  <c r="J79" i="326" s="1"/>
  <c r="H78" i="326"/>
  <c r="I78" i="326" s="1"/>
  <c r="J78" i="326" s="1"/>
  <c r="I77" i="326"/>
  <c r="J77" i="326" s="1"/>
  <c r="H77" i="326"/>
  <c r="K76" i="326"/>
  <c r="G76" i="326"/>
  <c r="F76" i="326"/>
  <c r="F75" i="326" s="1"/>
  <c r="E76" i="326"/>
  <c r="D76" i="326"/>
  <c r="C76" i="326"/>
  <c r="J74" i="326"/>
  <c r="I73" i="326"/>
  <c r="J73" i="326" s="1"/>
  <c r="H72" i="326"/>
  <c r="I72" i="326" s="1"/>
  <c r="J72" i="326" s="1"/>
  <c r="H71" i="326"/>
  <c r="I71" i="326" s="1"/>
  <c r="J71" i="326" s="1"/>
  <c r="K70" i="326"/>
  <c r="K69" i="326" s="1"/>
  <c r="I70" i="326"/>
  <c r="J70" i="326" s="1"/>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H52" i="326"/>
  <c r="I52" i="326" s="1"/>
  <c r="J52" i="326" s="1"/>
  <c r="H51" i="326"/>
  <c r="I51" i="326" s="1"/>
  <c r="J51" i="326" s="1"/>
  <c r="H50" i="326"/>
  <c r="I50" i="326" s="1"/>
  <c r="J50" i="326" s="1"/>
  <c r="H49" i="326"/>
  <c r="I49" i="326" s="1"/>
  <c r="J49" i="326" s="1"/>
  <c r="H48" i="326"/>
  <c r="I48" i="326" s="1"/>
  <c r="J48" i="326" s="1"/>
  <c r="H47" i="326"/>
  <c r="I47" i="326" s="1"/>
  <c r="J47" i="326" s="1"/>
  <c r="H46" i="326"/>
  <c r="I46" i="326" s="1"/>
  <c r="J46" i="326" s="1"/>
  <c r="K45" i="326"/>
  <c r="G45" i="326"/>
  <c r="F45" i="326"/>
  <c r="E45" i="326"/>
  <c r="D45" i="326"/>
  <c r="C45" i="326"/>
  <c r="K44" i="326"/>
  <c r="I44" i="326"/>
  <c r="J44" i="326" s="1"/>
  <c r="K43" i="326"/>
  <c r="I43" i="326"/>
  <c r="J43" i="326" s="1"/>
  <c r="K42" i="326"/>
  <c r="I42" i="326"/>
  <c r="J42" i="326" s="1"/>
  <c r="I41" i="326"/>
  <c r="J41" i="326" s="1"/>
  <c r="K40" i="326"/>
  <c r="I40" i="326"/>
  <c r="J40" i="326" s="1"/>
  <c r="K39" i="326"/>
  <c r="I39" i="326"/>
  <c r="J39" i="326" s="1"/>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K27" i="326"/>
  <c r="I29" i="326"/>
  <c r="J29" i="326" s="1"/>
  <c r="I28" i="326"/>
  <c r="J28" i="326" s="1"/>
  <c r="H27" i="326"/>
  <c r="G27" i="326"/>
  <c r="F27" i="326"/>
  <c r="E27" i="326"/>
  <c r="D27" i="326"/>
  <c r="C27" i="326"/>
  <c r="K26" i="326"/>
  <c r="I26" i="326"/>
  <c r="J26" i="326" s="1"/>
  <c r="I25" i="326"/>
  <c r="J25" i="326" s="1"/>
  <c r="I24" i="326"/>
  <c r="J24" i="326" s="1"/>
  <c r="I23" i="326"/>
  <c r="J23" i="326" s="1"/>
  <c r="I22" i="326"/>
  <c r="J22" i="326" s="1"/>
  <c r="I21" i="326"/>
  <c r="J21" i="326" s="1"/>
  <c r="I20" i="326"/>
  <c r="J20" i="326" s="1"/>
  <c r="I19" i="326"/>
  <c r="J19" i="326" s="1"/>
  <c r="I18" i="326"/>
  <c r="J18" i="326" s="1"/>
  <c r="H17" i="326"/>
  <c r="G17" i="326"/>
  <c r="F17" i="326"/>
  <c r="E17" i="326"/>
  <c r="D17" i="326"/>
  <c r="C17" i="326"/>
  <c r="H16" i="326"/>
  <c r="I16" i="326" s="1"/>
  <c r="J16" i="326" s="1"/>
  <c r="H15" i="326"/>
  <c r="I15" i="326" s="1"/>
  <c r="J15" i="326" s="1"/>
  <c r="H14" i="326"/>
  <c r="I14" i="326" s="1"/>
  <c r="J14" i="326" s="1"/>
  <c r="K13" i="326"/>
  <c r="G13" i="326"/>
  <c r="F13" i="326"/>
  <c r="E13" i="326"/>
  <c r="D13" i="326"/>
  <c r="C13" i="326"/>
  <c r="H12" i="326"/>
  <c r="I12" i="326" s="1"/>
  <c r="J12" i="326" s="1"/>
  <c r="H11" i="326"/>
  <c r="I11" i="326" s="1"/>
  <c r="J11" i="326" s="1"/>
  <c r="H10" i="326"/>
  <c r="I10" i="326" s="1"/>
  <c r="J10" i="326" s="1"/>
  <c r="C10" i="326"/>
  <c r="C8" i="326" s="1"/>
  <c r="C7" i="326" s="1"/>
  <c r="I9" i="326"/>
  <c r="J9" i="326" s="1"/>
  <c r="G8" i="326"/>
  <c r="F8" i="326"/>
  <c r="E8" i="326"/>
  <c r="D8" i="326"/>
  <c r="K3" i="326"/>
  <c r="J3" i="326"/>
  <c r="I3" i="326"/>
  <c r="H3" i="326"/>
  <c r="G3" i="326"/>
  <c r="F3" i="326"/>
  <c r="E3" i="326"/>
  <c r="D3" i="326"/>
  <c r="C3" i="326"/>
  <c r="B2" i="326"/>
  <c r="A2"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K154" i="242"/>
  <c r="I155" i="242"/>
  <c r="J155" i="242" s="1"/>
  <c r="H154" i="242"/>
  <c r="G154" i="242"/>
  <c r="F154" i="242"/>
  <c r="E154" i="242"/>
  <c r="D154" i="242"/>
  <c r="C154" i="242"/>
  <c r="J153" i="242"/>
  <c r="K151" i="242"/>
  <c r="I152" i="242"/>
  <c r="J152" i="242" s="1"/>
  <c r="H151" i="242"/>
  <c r="G151" i="242"/>
  <c r="F151" i="242"/>
  <c r="E151" i="242"/>
  <c r="D151" i="242"/>
  <c r="C151" i="242"/>
  <c r="I149" i="242"/>
  <c r="J149" i="242" s="1"/>
  <c r="K148" i="242"/>
  <c r="H148" i="242"/>
  <c r="G148" i="242"/>
  <c r="F148" i="242"/>
  <c r="E148" i="242"/>
  <c r="D148" i="242"/>
  <c r="C148" i="242"/>
  <c r="K140" i="242"/>
  <c r="K138" i="242" s="1"/>
  <c r="I146" i="242"/>
  <c r="J146" i="242" s="1"/>
  <c r="I145" i="242"/>
  <c r="J145" i="242" s="1"/>
  <c r="I144" i="242"/>
  <c r="J144" i="242" s="1"/>
  <c r="I142" i="242"/>
  <c r="J142" i="242" s="1"/>
  <c r="I141" i="242"/>
  <c r="J141" i="242" s="1"/>
  <c r="G140" i="242"/>
  <c r="F140" i="242"/>
  <c r="F138" i="242" s="1"/>
  <c r="E140" i="242"/>
  <c r="E138" i="242" s="1"/>
  <c r="D140" i="242"/>
  <c r="D138" i="242" s="1"/>
  <c r="C140" i="242"/>
  <c r="C138" i="242" s="1"/>
  <c r="I139" i="242"/>
  <c r="J139" i="242" s="1"/>
  <c r="G138" i="242"/>
  <c r="J137" i="242"/>
  <c r="I136" i="242"/>
  <c r="J136" i="242" s="1"/>
  <c r="K135" i="242"/>
  <c r="H135" i="242"/>
  <c r="G135" i="242"/>
  <c r="F135" i="242"/>
  <c r="E135" i="242"/>
  <c r="D135" i="242"/>
  <c r="C135" i="242"/>
  <c r="J134" i="242"/>
  <c r="I133" i="242"/>
  <c r="J133" i="242" s="1"/>
  <c r="I132" i="242"/>
  <c r="J132" i="242" s="1"/>
  <c r="I131" i="242"/>
  <c r="J131" i="242" s="1"/>
  <c r="K130" i="242"/>
  <c r="H130" i="242"/>
  <c r="I130" i="242" s="1"/>
  <c r="J130" i="242" s="1"/>
  <c r="G130" i="242"/>
  <c r="F130" i="242"/>
  <c r="E130" i="242"/>
  <c r="D130" i="242"/>
  <c r="C130" i="242"/>
  <c r="K129" i="242"/>
  <c r="K118" i="242" s="1"/>
  <c r="I129" i="242"/>
  <c r="J129" i="242" s="1"/>
  <c r="I128" i="242"/>
  <c r="J128" i="242" s="1"/>
  <c r="I127" i="242"/>
  <c r="J127" i="242" s="1"/>
  <c r="I126" i="242"/>
  <c r="J126" i="242" s="1"/>
  <c r="I125" i="242"/>
  <c r="J125" i="242" s="1"/>
  <c r="G124" i="242"/>
  <c r="I124" i="242" s="1"/>
  <c r="J124" i="242" s="1"/>
  <c r="G123" i="242"/>
  <c r="I123" i="242" s="1"/>
  <c r="J123" i="242" s="1"/>
  <c r="G122" i="242"/>
  <c r="I122" i="242" s="1"/>
  <c r="J122" i="242" s="1"/>
  <c r="G121" i="242"/>
  <c r="I121" i="242" s="1"/>
  <c r="J121" i="242" s="1"/>
  <c r="G120" i="242"/>
  <c r="G119" i="242"/>
  <c r="I119" i="242" s="1"/>
  <c r="J119" i="242" s="1"/>
  <c r="C118" i="242"/>
  <c r="C117" i="242" s="1"/>
  <c r="H118" i="242"/>
  <c r="F118" i="242"/>
  <c r="E118" i="242"/>
  <c r="D118" i="242"/>
  <c r="H116" i="242"/>
  <c r="I116" i="242" s="1"/>
  <c r="J116" i="242" s="1"/>
  <c r="H115" i="242"/>
  <c r="I115" i="242" s="1"/>
  <c r="J115" i="242" s="1"/>
  <c r="K114" i="242"/>
  <c r="G114" i="242"/>
  <c r="F114" i="242"/>
  <c r="E114" i="242"/>
  <c r="D114" i="242"/>
  <c r="C114" i="242"/>
  <c r="K113" i="242"/>
  <c r="I113" i="242"/>
  <c r="J113" i="242" s="1"/>
  <c r="I112" i="242"/>
  <c r="J112" i="242" s="1"/>
  <c r="K111" i="242"/>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K102" i="242"/>
  <c r="I102" i="242"/>
  <c r="J102" i="242" s="1"/>
  <c r="I101" i="242"/>
  <c r="J101" i="242" s="1"/>
  <c r="K100" i="242"/>
  <c r="I100" i="242"/>
  <c r="J100" i="242" s="1"/>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K52" i="242"/>
  <c r="I52" i="242"/>
  <c r="J52" i="242" s="1"/>
  <c r="I51" i="242"/>
  <c r="J51" i="242" s="1"/>
  <c r="K50" i="242"/>
  <c r="I50" i="242"/>
  <c r="J50" i="242" s="1"/>
  <c r="K49" i="242"/>
  <c r="I49" i="242"/>
  <c r="J49" i="242" s="1"/>
  <c r="K48" i="242"/>
  <c r="I48" i="242"/>
  <c r="J48" i="242" s="1"/>
  <c r="I47" i="242"/>
  <c r="J47" i="242" s="1"/>
  <c r="C45" i="242"/>
  <c r="K46" i="242"/>
  <c r="I46" i="242"/>
  <c r="J46" i="242" s="1"/>
  <c r="H45" i="242"/>
  <c r="G45" i="242"/>
  <c r="F45" i="242"/>
  <c r="E45" i="242"/>
  <c r="D45" i="242"/>
  <c r="K44" i="242"/>
  <c r="I44" i="242"/>
  <c r="J44" i="242" s="1"/>
  <c r="K43" i="242"/>
  <c r="I43" i="242"/>
  <c r="J43" i="242" s="1"/>
  <c r="K42" i="242"/>
  <c r="I42" i="242"/>
  <c r="J42" i="242" s="1"/>
  <c r="I41" i="242"/>
  <c r="J41" i="242" s="1"/>
  <c r="I40" i="242"/>
  <c r="J40" i="242" s="1"/>
  <c r="K39" i="242"/>
  <c r="I39" i="242"/>
  <c r="J39" i="242" s="1"/>
  <c r="H38" i="242"/>
  <c r="G38" i="242"/>
  <c r="F38" i="242"/>
  <c r="E38" i="242"/>
  <c r="D38" i="242"/>
  <c r="C38" i="242"/>
  <c r="K37" i="242"/>
  <c r="I37" i="242"/>
  <c r="J37" i="242" s="1"/>
  <c r="K36" i="242"/>
  <c r="I36" i="242"/>
  <c r="J36" i="242" s="1"/>
  <c r="I35" i="242"/>
  <c r="J35" i="242" s="1"/>
  <c r="I34" i="242"/>
  <c r="J34" i="242" s="1"/>
  <c r="K33" i="242"/>
  <c r="I33" i="242"/>
  <c r="J33" i="242" s="1"/>
  <c r="K32" i="242"/>
  <c r="I32" i="242"/>
  <c r="J32" i="242" s="1"/>
  <c r="K31" i="242"/>
  <c r="I31" i="242"/>
  <c r="J31" i="242" s="1"/>
  <c r="K30" i="242"/>
  <c r="I30" i="242"/>
  <c r="J30" i="242" s="1"/>
  <c r="K29" i="242"/>
  <c r="I29" i="242"/>
  <c r="J29" i="242" s="1"/>
  <c r="K28" i="242"/>
  <c r="I28" i="242"/>
  <c r="J28" i="242" s="1"/>
  <c r="H27" i="242"/>
  <c r="G27" i="242"/>
  <c r="F27" i="242"/>
  <c r="E27" i="242"/>
  <c r="D27" i="242"/>
  <c r="C27" i="242"/>
  <c r="K26" i="242"/>
  <c r="I26" i="242"/>
  <c r="J26" i="242" s="1"/>
  <c r="K25" i="242"/>
  <c r="I25" i="242"/>
  <c r="J25" i="242" s="1"/>
  <c r="K24" i="242"/>
  <c r="I24" i="242"/>
  <c r="J24" i="242" s="1"/>
  <c r="K23" i="242"/>
  <c r="I23" i="242"/>
  <c r="J23" i="242" s="1"/>
  <c r="K22" i="242"/>
  <c r="I22" i="242"/>
  <c r="J22" i="242" s="1"/>
  <c r="K21" i="242"/>
  <c r="I21" i="242"/>
  <c r="J21" i="242" s="1"/>
  <c r="K20" i="242"/>
  <c r="I20" i="242"/>
  <c r="J20" i="242" s="1"/>
  <c r="K19" i="242"/>
  <c r="I19" i="242"/>
  <c r="J19" i="242" s="1"/>
  <c r="I18" i="242"/>
  <c r="J18" i="242" s="1"/>
  <c r="H17" i="242"/>
  <c r="G17" i="242"/>
  <c r="F17" i="242"/>
  <c r="E17" i="242"/>
  <c r="D17" i="242"/>
  <c r="C17" i="242"/>
  <c r="H16" i="242"/>
  <c r="I16" i="242" s="1"/>
  <c r="J16" i="242" s="1"/>
  <c r="H15" i="242"/>
  <c r="I15" i="242" s="1"/>
  <c r="J15" i="242" s="1"/>
  <c r="H14" i="242"/>
  <c r="I14" i="242" s="1"/>
  <c r="J14" i="242" s="1"/>
  <c r="K13" i="242"/>
  <c r="G13" i="242"/>
  <c r="F13" i="242"/>
  <c r="E13" i="242"/>
  <c r="D13" i="242"/>
  <c r="C13" i="242"/>
  <c r="H12" i="242"/>
  <c r="I12" i="242" s="1"/>
  <c r="J12" i="242" s="1"/>
  <c r="H11" i="242"/>
  <c r="I11" i="242" s="1"/>
  <c r="J11" i="242" s="1"/>
  <c r="H10" i="242"/>
  <c r="I10" i="242" s="1"/>
  <c r="J10" i="242" s="1"/>
  <c r="K8" i="242"/>
  <c r="I9" i="242"/>
  <c r="J9" i="242" s="1"/>
  <c r="G8" i="242"/>
  <c r="F8" i="242"/>
  <c r="E8" i="242"/>
  <c r="D8" i="242"/>
  <c r="C8" i="242"/>
  <c r="K3" i="242"/>
  <c r="J3" i="242"/>
  <c r="I3" i="242"/>
  <c r="H3" i="242"/>
  <c r="G3" i="242"/>
  <c r="F3" i="242"/>
  <c r="E3" i="242"/>
  <c r="D3" i="242"/>
  <c r="C3" i="242"/>
  <c r="B2" i="242"/>
  <c r="A2" i="242"/>
  <c r="D18" i="180"/>
  <c r="E18" i="180" s="1"/>
  <c r="C18" i="180"/>
  <c r="B14" i="172"/>
  <c r="G7" i="180"/>
  <c r="C29" i="172" s="1"/>
  <c r="G6" i="180"/>
  <c r="C28" i="172" s="1"/>
  <c r="F6" i="180"/>
  <c r="B28" i="172" s="1"/>
  <c r="I3" i="180"/>
  <c r="H3" i="180"/>
  <c r="G3" i="180"/>
  <c r="C27" i="172" s="1"/>
  <c r="F3" i="180"/>
  <c r="B27" i="172" s="1"/>
  <c r="E3" i="180"/>
  <c r="E2" i="172" s="1"/>
  <c r="D3" i="180"/>
  <c r="D2" i="172" s="1"/>
  <c r="C3" i="180"/>
  <c r="C2" i="172" s="1"/>
  <c r="B3" i="180"/>
  <c r="A44" i="183"/>
  <c r="K43" i="183"/>
  <c r="H43" i="183"/>
  <c r="G43" i="183"/>
  <c r="F43" i="183"/>
  <c r="E43" i="183"/>
  <c r="D43" i="183"/>
  <c r="C43" i="183"/>
  <c r="J42" i="183"/>
  <c r="I41" i="183"/>
  <c r="J41" i="183" s="1"/>
  <c r="A41" i="183"/>
  <c r="I40" i="183"/>
  <c r="J40" i="183" s="1"/>
  <c r="A40" i="183"/>
  <c r="I39" i="183"/>
  <c r="J39" i="183" s="1"/>
  <c r="A39" i="183"/>
  <c r="I38" i="183"/>
  <c r="J38" i="183" s="1"/>
  <c r="A38" i="183"/>
  <c r="I37" i="183"/>
  <c r="J37" i="183" s="1"/>
  <c r="A37" i="183"/>
  <c r="I36" i="183"/>
  <c r="J36" i="183" s="1"/>
  <c r="I35" i="183"/>
  <c r="J35" i="183" s="1"/>
  <c r="I34" i="183"/>
  <c r="J34" i="183" s="1"/>
  <c r="I33" i="183"/>
  <c r="J33" i="183" s="1"/>
  <c r="A33" i="183"/>
  <c r="A31" i="183"/>
  <c r="J30" i="183"/>
  <c r="K29" i="183"/>
  <c r="G29" i="183"/>
  <c r="F29" i="183"/>
  <c r="E29" i="183"/>
  <c r="D29" i="183"/>
  <c r="C29" i="183"/>
  <c r="I28" i="183"/>
  <c r="J28" i="183" s="1"/>
  <c r="A28" i="183"/>
  <c r="I27" i="183"/>
  <c r="J27" i="183" s="1"/>
  <c r="A27" i="183"/>
  <c r="I26" i="183"/>
  <c r="J26" i="183" s="1"/>
  <c r="A26" i="183"/>
  <c r="I25" i="183"/>
  <c r="J25" i="183" s="1"/>
  <c r="A25" i="183"/>
  <c r="I24" i="183"/>
  <c r="J24" i="183" s="1"/>
  <c r="A24" i="183"/>
  <c r="I23" i="183"/>
  <c r="J23" i="183" s="1"/>
  <c r="I22" i="183"/>
  <c r="J22" i="183" s="1"/>
  <c r="I21" i="183"/>
  <c r="J21" i="183" s="1"/>
  <c r="I20" i="183"/>
  <c r="J20" i="183" s="1"/>
  <c r="A19" i="183"/>
  <c r="K16" i="183"/>
  <c r="G16" i="183"/>
  <c r="F16" i="183"/>
  <c r="E16" i="183"/>
  <c r="D16" i="183"/>
  <c r="C16" i="183"/>
  <c r="I15" i="183"/>
  <c r="J15" i="183" s="1"/>
  <c r="I14" i="183"/>
  <c r="J14" i="183" s="1"/>
  <c r="I13" i="183"/>
  <c r="J13" i="183" s="1"/>
  <c r="I12" i="183"/>
  <c r="J12" i="183" s="1"/>
  <c r="I11" i="183"/>
  <c r="J11" i="183" s="1"/>
  <c r="I10" i="183"/>
  <c r="J10" i="183" s="1"/>
  <c r="I9" i="183"/>
  <c r="J9" i="183" s="1"/>
  <c r="I8" i="183"/>
  <c r="J8" i="183" s="1"/>
  <c r="I7" i="183"/>
  <c r="J7" i="183" s="1"/>
  <c r="K3" i="183"/>
  <c r="J3" i="183"/>
  <c r="I3" i="183"/>
  <c r="H3" i="183"/>
  <c r="G3" i="183"/>
  <c r="F3" i="183"/>
  <c r="E3" i="183"/>
  <c r="D3" i="183"/>
  <c r="C3" i="183"/>
  <c r="B2" i="183"/>
  <c r="A2" i="183"/>
  <c r="A45" i="181"/>
  <c r="A44" i="181"/>
  <c r="I43" i="181"/>
  <c r="J43" i="181" s="1"/>
  <c r="A43" i="181"/>
  <c r="A42" i="181"/>
  <c r="I41" i="181"/>
  <c r="J41" i="181" s="1"/>
  <c r="A41" i="181"/>
  <c r="I40" i="181"/>
  <c r="J40" i="181" s="1"/>
  <c r="A40" i="181"/>
  <c r="I39" i="181"/>
  <c r="J39" i="181" s="1"/>
  <c r="A39" i="181"/>
  <c r="A38" i="181"/>
  <c r="I37" i="181"/>
  <c r="K36" i="181"/>
  <c r="H36" i="181"/>
  <c r="G36" i="181"/>
  <c r="F36" i="181"/>
  <c r="E36" i="181"/>
  <c r="D36" i="181"/>
  <c r="C36" i="181"/>
  <c r="I35" i="181"/>
  <c r="J35" i="181" s="1"/>
  <c r="A35" i="181"/>
  <c r="I34" i="181"/>
  <c r="J34" i="181" s="1"/>
  <c r="A34" i="181"/>
  <c r="I33" i="181"/>
  <c r="J33" i="181" s="1"/>
  <c r="A33" i="181"/>
  <c r="I32" i="181"/>
  <c r="J32" i="181" s="1"/>
  <c r="A32" i="181"/>
  <c r="I31" i="181"/>
  <c r="J31" i="181" s="1"/>
  <c r="A31" i="181"/>
  <c r="I30" i="181"/>
  <c r="J30" i="181" s="1"/>
  <c r="A30" i="181"/>
  <c r="I29" i="181"/>
  <c r="J29" i="181" s="1"/>
  <c r="A29" i="181"/>
  <c r="I28" i="181"/>
  <c r="J28" i="181" s="1"/>
  <c r="A28" i="181"/>
  <c r="I27" i="181"/>
  <c r="J27" i="181" s="1"/>
  <c r="A27" i="181"/>
  <c r="I26" i="181"/>
  <c r="J26" i="181" s="1"/>
  <c r="A26" i="181"/>
  <c r="I25" i="181"/>
  <c r="J25" i="181" s="1"/>
  <c r="A25" i="181"/>
  <c r="K22" i="181"/>
  <c r="H22" i="181"/>
  <c r="G22" i="181"/>
  <c r="F22" i="181"/>
  <c r="E22" i="181"/>
  <c r="D22" i="181"/>
  <c r="C22" i="181"/>
  <c r="I21" i="181"/>
  <c r="J21" i="181" s="1"/>
  <c r="A21" i="181"/>
  <c r="I20" i="181"/>
  <c r="J20" i="181" s="1"/>
  <c r="A20" i="181"/>
  <c r="I19" i="181"/>
  <c r="J19" i="181" s="1"/>
  <c r="A19" i="181"/>
  <c r="I18" i="181"/>
  <c r="J18" i="181" s="1"/>
  <c r="A18" i="181"/>
  <c r="I17" i="181"/>
  <c r="J17" i="181" s="1"/>
  <c r="A17" i="181"/>
  <c r="I16" i="181"/>
  <c r="J16" i="181" s="1"/>
  <c r="A16" i="181"/>
  <c r="I15" i="181"/>
  <c r="J15" i="181" s="1"/>
  <c r="A15" i="181"/>
  <c r="I14" i="181"/>
  <c r="J14" i="181" s="1"/>
  <c r="A14" i="181"/>
  <c r="I13" i="181"/>
  <c r="J13" i="181" s="1"/>
  <c r="A13" i="181"/>
  <c r="I12" i="181"/>
  <c r="J12" i="181" s="1"/>
  <c r="A12" i="181"/>
  <c r="I11" i="181"/>
  <c r="J11" i="181" s="1"/>
  <c r="A11" i="181"/>
  <c r="I10" i="181"/>
  <c r="J10" i="181" s="1"/>
  <c r="A10" i="181"/>
  <c r="I9" i="181"/>
  <c r="J9" i="181" s="1"/>
  <c r="A9" i="181"/>
  <c r="I8" i="181"/>
  <c r="J8" i="181" s="1"/>
  <c r="A8" i="181"/>
  <c r="I7" i="181"/>
  <c r="J7" i="181" s="1"/>
  <c r="A7" i="181"/>
  <c r="I6" i="181"/>
  <c r="J6" i="181" s="1"/>
  <c r="A6" i="181"/>
  <c r="A5" i="181"/>
  <c r="K3" i="181"/>
  <c r="J3" i="181"/>
  <c r="I3" i="181"/>
  <c r="H3" i="181"/>
  <c r="G3" i="181"/>
  <c r="F3" i="181"/>
  <c r="E3" i="181"/>
  <c r="D3" i="181"/>
  <c r="C3" i="181"/>
  <c r="B2" i="181"/>
  <c r="A2" i="181"/>
  <c r="A57" i="317"/>
  <c r="O55" i="317"/>
  <c r="N53" i="317"/>
  <c r="N51" i="317"/>
  <c r="N50" i="317"/>
  <c r="N49" i="317"/>
  <c r="N47" i="317"/>
  <c r="Q46" i="317"/>
  <c r="Q52" i="317" s="1"/>
  <c r="P46" i="317"/>
  <c r="O46" i="317"/>
  <c r="O52" i="317" s="1"/>
  <c r="M46" i="317"/>
  <c r="M52" i="317" s="1"/>
  <c r="L46" i="317"/>
  <c r="K46" i="317"/>
  <c r="J46" i="317"/>
  <c r="J65" i="317" s="1"/>
  <c r="I46" i="317"/>
  <c r="I52" i="317" s="1"/>
  <c r="H46" i="317"/>
  <c r="H65" i="317" s="1"/>
  <c r="G46" i="317"/>
  <c r="F46" i="317"/>
  <c r="F65" i="317" s="1"/>
  <c r="E46" i="317"/>
  <c r="D46" i="317"/>
  <c r="C46" i="317"/>
  <c r="C52" i="317" s="1"/>
  <c r="B46" i="317"/>
  <c r="B52" i="317" s="1"/>
  <c r="B54" i="317" s="1"/>
  <c r="N45" i="317"/>
  <c r="N44" i="317"/>
  <c r="N43" i="317"/>
  <c r="N42" i="317"/>
  <c r="N41" i="317"/>
  <c r="N40" i="317"/>
  <c r="N39" i="317"/>
  <c r="N38" i="317"/>
  <c r="N37" i="317"/>
  <c r="N36" i="317"/>
  <c r="N35" i="317"/>
  <c r="N34" i="317"/>
  <c r="N32" i="317"/>
  <c r="N31" i="317"/>
  <c r="N30" i="317"/>
  <c r="N29" i="317"/>
  <c r="N28" i="317"/>
  <c r="N27" i="317"/>
  <c r="N26" i="317"/>
  <c r="N25" i="317"/>
  <c r="N24" i="317"/>
  <c r="N23" i="317"/>
  <c r="N22" i="317"/>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1" i="317"/>
  <c r="N10" i="317"/>
  <c r="N9" i="317"/>
  <c r="N8" i="317"/>
  <c r="N7" i="317"/>
  <c r="N6" i="317"/>
  <c r="B2" i="317"/>
  <c r="A2" i="317"/>
  <c r="A107" i="318"/>
  <c r="H99" i="318"/>
  <c r="G99" i="318"/>
  <c r="F99" i="318"/>
  <c r="E99" i="318"/>
  <c r="D99" i="318"/>
  <c r="C99" i="318"/>
  <c r="K98" i="318"/>
  <c r="I98" i="318"/>
  <c r="J98" i="318" s="1"/>
  <c r="I97" i="318"/>
  <c r="J97" i="318" s="1"/>
  <c r="K96" i="318"/>
  <c r="I96" i="318"/>
  <c r="J96" i="318" s="1"/>
  <c r="K95" i="318"/>
  <c r="I95" i="318"/>
  <c r="J95" i="318" s="1"/>
  <c r="K94" i="318"/>
  <c r="I94" i="318"/>
  <c r="J94" i="318" s="1"/>
  <c r="K93" i="318"/>
  <c r="I93" i="318"/>
  <c r="J93" i="318" s="1"/>
  <c r="K92" i="318"/>
  <c r="I92" i="318"/>
  <c r="J92" i="318" s="1"/>
  <c r="K91" i="318"/>
  <c r="I91" i="318"/>
  <c r="J91" i="318" s="1"/>
  <c r="K90" i="318"/>
  <c r="I90" i="318"/>
  <c r="J90" i="318" s="1"/>
  <c r="K89" i="318"/>
  <c r="I89" i="318"/>
  <c r="J89" i="318" s="1"/>
  <c r="K88" i="318"/>
  <c r="I88" i="318"/>
  <c r="J88" i="318" s="1"/>
  <c r="K87" i="318"/>
  <c r="I87" i="318"/>
  <c r="J87" i="318" s="1"/>
  <c r="H83" i="318"/>
  <c r="G83" i="318"/>
  <c r="F83" i="318"/>
  <c r="E83" i="318"/>
  <c r="D83" i="318"/>
  <c r="C83" i="318"/>
  <c r="K82" i="318"/>
  <c r="I82" i="318"/>
  <c r="J82" i="318" s="1"/>
  <c r="K81" i="318"/>
  <c r="I81" i="318"/>
  <c r="J81" i="318" s="1"/>
  <c r="K80" i="318"/>
  <c r="I80" i="318"/>
  <c r="J80" i="318" s="1"/>
  <c r="K79" i="318"/>
  <c r="I79" i="318"/>
  <c r="J79" i="318" s="1"/>
  <c r="K78" i="318"/>
  <c r="I78" i="318"/>
  <c r="J78" i="318" s="1"/>
  <c r="K77" i="318"/>
  <c r="I77" i="318"/>
  <c r="J77" i="318" s="1"/>
  <c r="K76" i="318"/>
  <c r="I76" i="318"/>
  <c r="J76" i="318" s="1"/>
  <c r="K75" i="318"/>
  <c r="I75" i="318"/>
  <c r="J75" i="318" s="1"/>
  <c r="K74" i="318"/>
  <c r="I74" i="318"/>
  <c r="J74" i="318" s="1"/>
  <c r="K73" i="318"/>
  <c r="I73" i="318"/>
  <c r="J73" i="318" s="1"/>
  <c r="K72" i="318"/>
  <c r="I72" i="318"/>
  <c r="J72" i="318" s="1"/>
  <c r="K71" i="318"/>
  <c r="I71" i="318"/>
  <c r="J71" i="318" s="1"/>
  <c r="G67" i="318"/>
  <c r="F67" i="318"/>
  <c r="E67" i="318"/>
  <c r="D67" i="318"/>
  <c r="C67" i="318"/>
  <c r="K66" i="318"/>
  <c r="I66" i="318"/>
  <c r="J66" i="318" s="1"/>
  <c r="K65" i="318"/>
  <c r="I65" i="318"/>
  <c r="J65" i="318" s="1"/>
  <c r="K64" i="318"/>
  <c r="I64" i="318"/>
  <c r="J64" i="318" s="1"/>
  <c r="K63" i="318"/>
  <c r="I63" i="318"/>
  <c r="J63" i="318" s="1"/>
  <c r="K62" i="318"/>
  <c r="I62" i="318"/>
  <c r="J62" i="318" s="1"/>
  <c r="K61" i="318"/>
  <c r="I61" i="318"/>
  <c r="J61" i="318" s="1"/>
  <c r="K60" i="318"/>
  <c r="I60" i="318"/>
  <c r="J60" i="318" s="1"/>
  <c r="K59" i="318"/>
  <c r="I59" i="318"/>
  <c r="J59" i="318" s="1"/>
  <c r="K58" i="318"/>
  <c r="I58" i="318"/>
  <c r="J58" i="318" s="1"/>
  <c r="K57" i="318"/>
  <c r="I57" i="318"/>
  <c r="J57" i="318" s="1"/>
  <c r="K56" i="318"/>
  <c r="H67" i="318"/>
  <c r="K55" i="318"/>
  <c r="I55" i="318"/>
  <c r="J55" i="318" s="1"/>
  <c r="K54" i="318"/>
  <c r="I54" i="318"/>
  <c r="J54" i="318" s="1"/>
  <c r="H46" i="318"/>
  <c r="G46" i="318"/>
  <c r="F46" i="318"/>
  <c r="E46" i="318"/>
  <c r="I45" i="318"/>
  <c r="J45" i="318" s="1"/>
  <c r="I44" i="318"/>
  <c r="J44" i="318" s="1"/>
  <c r="I43" i="318"/>
  <c r="J43" i="318" s="1"/>
  <c r="I42" i="318"/>
  <c r="J42" i="318" s="1"/>
  <c r="D46" i="318"/>
  <c r="C46" i="318"/>
  <c r="I41" i="318"/>
  <c r="J41" i="318" s="1"/>
  <c r="I40" i="318"/>
  <c r="J40" i="318" s="1"/>
  <c r="I39" i="318"/>
  <c r="J39" i="318" s="1"/>
  <c r="I38" i="318"/>
  <c r="J38" i="318" s="1"/>
  <c r="I37" i="318"/>
  <c r="J37" i="318" s="1"/>
  <c r="I36" i="318"/>
  <c r="J36" i="318" s="1"/>
  <c r="I35" i="318"/>
  <c r="J35" i="318" s="1"/>
  <c r="I34" i="318"/>
  <c r="J34" i="318" s="1"/>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H14" i="318"/>
  <c r="G14" i="318"/>
  <c r="F14" i="318"/>
  <c r="E14" i="318"/>
  <c r="D14" i="318"/>
  <c r="C14" i="318"/>
  <c r="I13" i="318"/>
  <c r="J13" i="318" s="1"/>
  <c r="I12" i="318"/>
  <c r="J12" i="318" s="1"/>
  <c r="I11" i="318"/>
  <c r="J11" i="318" s="1"/>
  <c r="I10" i="318"/>
  <c r="J10" i="318" s="1"/>
  <c r="I9" i="318"/>
  <c r="J9" i="318" s="1"/>
  <c r="I8" i="318"/>
  <c r="J8" i="318" s="1"/>
  <c r="K14" i="318"/>
  <c r="I7" i="318"/>
  <c r="J7" i="318" s="1"/>
  <c r="K3" i="318"/>
  <c r="J3" i="318"/>
  <c r="I3" i="318"/>
  <c r="H3" i="318"/>
  <c r="G3" i="318"/>
  <c r="F3" i="318"/>
  <c r="E3" i="318"/>
  <c r="D3" i="318"/>
  <c r="C3" i="318"/>
  <c r="B2" i="318"/>
  <c r="A50" i="334"/>
  <c r="F46" i="334"/>
  <c r="A46" i="334"/>
  <c r="F45" i="334"/>
  <c r="G45" i="334" s="1"/>
  <c r="E44" i="334"/>
  <c r="D44" i="334"/>
  <c r="C44" i="334"/>
  <c r="F43" i="334"/>
  <c r="G43" i="334" s="1"/>
  <c r="A43" i="334"/>
  <c r="F42" i="334"/>
  <c r="G42" i="334" s="1"/>
  <c r="E41" i="334"/>
  <c r="D41" i="334"/>
  <c r="C41" i="334"/>
  <c r="F40" i="334"/>
  <c r="G40" i="334" s="1"/>
  <c r="A40" i="334"/>
  <c r="F39" i="334"/>
  <c r="G39" i="334" s="1"/>
  <c r="E38" i="334"/>
  <c r="D38" i="334"/>
  <c r="C38" i="334"/>
  <c r="F37" i="334"/>
  <c r="G37" i="334" s="1"/>
  <c r="A37" i="334"/>
  <c r="F36" i="334"/>
  <c r="G36" i="334" s="1"/>
  <c r="A36" i="334"/>
  <c r="F35" i="334"/>
  <c r="G35" i="334" s="1"/>
  <c r="A35" i="334"/>
  <c r="F34" i="334"/>
  <c r="G34" i="334" s="1"/>
  <c r="A34" i="334"/>
  <c r="F33" i="334"/>
  <c r="G33" i="334" s="1"/>
  <c r="A33" i="334"/>
  <c r="F32" i="334"/>
  <c r="G32" i="334" s="1"/>
  <c r="A32" i="334"/>
  <c r="E31" i="334"/>
  <c r="D31" i="334"/>
  <c r="C31" i="334"/>
  <c r="G30" i="334"/>
  <c r="G29" i="334"/>
  <c r="F27" i="334"/>
  <c r="A27" i="334"/>
  <c r="F26" i="334"/>
  <c r="G26" i="334" s="1"/>
  <c r="E25" i="334"/>
  <c r="D25" i="334"/>
  <c r="C25" i="334"/>
  <c r="A25" i="334"/>
  <c r="F24" i="334"/>
  <c r="G24" i="334" s="1"/>
  <c r="A24" i="334"/>
  <c r="F23" i="334"/>
  <c r="G23" i="334" s="1"/>
  <c r="E22" i="334"/>
  <c r="D22" i="334"/>
  <c r="C22" i="334"/>
  <c r="A22" i="334"/>
  <c r="F21" i="334"/>
  <c r="G21" i="334" s="1"/>
  <c r="A21" i="334"/>
  <c r="F20" i="334"/>
  <c r="G20" i="334" s="1"/>
  <c r="A20" i="334"/>
  <c r="F19" i="334"/>
  <c r="G19" i="334" s="1"/>
  <c r="A19" i="334"/>
  <c r="F18" i="334"/>
  <c r="G18" i="334" s="1"/>
  <c r="A18" i="334"/>
  <c r="F17" i="334"/>
  <c r="G17" i="334" s="1"/>
  <c r="A17" i="334"/>
  <c r="E16" i="334"/>
  <c r="D16" i="334"/>
  <c r="C16" i="334"/>
  <c r="A16" i="334"/>
  <c r="F15" i="334"/>
  <c r="G15" i="334" s="1"/>
  <c r="A15" i="334"/>
  <c r="F14" i="334"/>
  <c r="G14" i="334" s="1"/>
  <c r="A14" i="334"/>
  <c r="F13" i="334"/>
  <c r="G13" i="334" s="1"/>
  <c r="A13" i="334"/>
  <c r="F12" i="334"/>
  <c r="G12" i="334" s="1"/>
  <c r="A12" i="334"/>
  <c r="F11" i="334"/>
  <c r="G11" i="334" s="1"/>
  <c r="A11" i="334"/>
  <c r="F10" i="334"/>
  <c r="G10" i="334" s="1"/>
  <c r="A10" i="334"/>
  <c r="F9" i="334"/>
  <c r="A9" i="334"/>
  <c r="E8" i="334"/>
  <c r="D8" i="334"/>
  <c r="C8" i="334"/>
  <c r="A8" i="334"/>
  <c r="G3" i="334"/>
  <c r="F3" i="334"/>
  <c r="E3" i="334"/>
  <c r="D3" i="334"/>
  <c r="B2" i="334"/>
  <c r="A2" i="334"/>
  <c r="A55" i="269"/>
  <c r="I51" i="269"/>
  <c r="J51" i="269" s="1"/>
  <c r="A51" i="269"/>
  <c r="I50" i="269"/>
  <c r="J50" i="269" s="1"/>
  <c r="K49" i="269"/>
  <c r="H49" i="269"/>
  <c r="G49" i="269"/>
  <c r="F49" i="269"/>
  <c r="D49" i="269"/>
  <c r="C49" i="269"/>
  <c r="I48" i="269"/>
  <c r="J48" i="269" s="1"/>
  <c r="A48" i="269"/>
  <c r="I47" i="269"/>
  <c r="J47" i="269" s="1"/>
  <c r="K46" i="269"/>
  <c r="H46" i="269"/>
  <c r="G46" i="269"/>
  <c r="F46" i="269"/>
  <c r="E46" i="269"/>
  <c r="D46" i="269"/>
  <c r="C46" i="269"/>
  <c r="I45" i="269"/>
  <c r="J45" i="269" s="1"/>
  <c r="A45" i="269"/>
  <c r="I44" i="269"/>
  <c r="J44" i="269" s="1"/>
  <c r="K43" i="269"/>
  <c r="H43" i="269"/>
  <c r="G43" i="269"/>
  <c r="F43" i="269"/>
  <c r="E43" i="269"/>
  <c r="I41" i="269"/>
  <c r="J41" i="269" s="1"/>
  <c r="A41" i="269"/>
  <c r="I40" i="269"/>
  <c r="J40" i="269" s="1"/>
  <c r="I39" i="269"/>
  <c r="J39" i="269" s="1"/>
  <c r="I38" i="269"/>
  <c r="I37" i="269"/>
  <c r="J37" i="269" s="1"/>
  <c r="I36" i="269"/>
  <c r="J36" i="269" s="1"/>
  <c r="A36" i="269"/>
  <c r="C35" i="269"/>
  <c r="J32" i="269"/>
  <c r="I31" i="269"/>
  <c r="J31" i="269" s="1"/>
  <c r="A31" i="269"/>
  <c r="I30" i="269"/>
  <c r="J30" i="269" s="1"/>
  <c r="K29" i="269"/>
  <c r="H29" i="269"/>
  <c r="G29" i="269"/>
  <c r="F29" i="269"/>
  <c r="E29" i="269"/>
  <c r="D29" i="269"/>
  <c r="C29" i="269"/>
  <c r="A29" i="269"/>
  <c r="I28" i="269"/>
  <c r="J28" i="269" s="1"/>
  <c r="I27" i="269"/>
  <c r="J27" i="269" s="1"/>
  <c r="K26" i="269"/>
  <c r="H26" i="269"/>
  <c r="G26" i="269"/>
  <c r="E26" i="269"/>
  <c r="D26" i="269"/>
  <c r="C26" i="269"/>
  <c r="A26" i="269"/>
  <c r="I25" i="269"/>
  <c r="J25" i="269" s="1"/>
  <c r="A25" i="269"/>
  <c r="I24" i="269"/>
  <c r="J24" i="269" s="1"/>
  <c r="A24" i="269"/>
  <c r="I23" i="269"/>
  <c r="J23" i="269" s="1"/>
  <c r="I22" i="269"/>
  <c r="J22" i="269" s="1"/>
  <c r="A22" i="269"/>
  <c r="I21" i="269"/>
  <c r="J21" i="269" s="1"/>
  <c r="A21" i="269"/>
  <c r="K20" i="269"/>
  <c r="H20" i="269"/>
  <c r="G20" i="269"/>
  <c r="F20" i="269"/>
  <c r="E20" i="269"/>
  <c r="D20" i="269"/>
  <c r="C20" i="269"/>
  <c r="A20" i="269"/>
  <c r="A12" i="269"/>
  <c r="A11" i="269"/>
  <c r="A10" i="269"/>
  <c r="A9" i="269"/>
  <c r="D8" i="269"/>
  <c r="C8" i="269"/>
  <c r="A8" i="269"/>
  <c r="K3" i="269"/>
  <c r="J3" i="269"/>
  <c r="I3" i="269"/>
  <c r="H3" i="269"/>
  <c r="G3" i="269"/>
  <c r="F3" i="269"/>
  <c r="E3" i="269"/>
  <c r="D3" i="269"/>
  <c r="C3" i="269"/>
  <c r="B2" i="269"/>
  <c r="A2" i="269"/>
  <c r="A72" i="270"/>
  <c r="A62" i="270"/>
  <c r="A44" i="334" s="1"/>
  <c r="A59" i="270"/>
  <c r="A41" i="334" s="1"/>
  <c r="A52" i="270"/>
  <c r="A38" i="334" s="1"/>
  <c r="A41" i="270"/>
  <c r="A31" i="334" s="1"/>
  <c r="K3" i="270"/>
  <c r="J3" i="270"/>
  <c r="I3" i="270"/>
  <c r="H3" i="270"/>
  <c r="G3" i="270"/>
  <c r="F3" i="270"/>
  <c r="E3" i="270"/>
  <c r="D3" i="270"/>
  <c r="C3" i="270"/>
  <c r="B2" i="270"/>
  <c r="A2" i="270"/>
  <c r="A25" i="238"/>
  <c r="J22" i="238"/>
  <c r="I22" i="238"/>
  <c r="H22" i="238"/>
  <c r="F22" i="238"/>
  <c r="J12" i="238"/>
  <c r="I12" i="238"/>
  <c r="I24" i="238" s="1"/>
  <c r="H12" i="238"/>
  <c r="H24" i="238" s="1"/>
  <c r="F12" i="238"/>
  <c r="F24" i="238" s="1"/>
  <c r="L15" i="173"/>
  <c r="J15" i="173"/>
  <c r="I52" i="267" s="1"/>
  <c r="I15" i="173"/>
  <c r="H15" i="173"/>
  <c r="G15" i="173"/>
  <c r="F52" i="267" s="1"/>
  <c r="F15" i="173"/>
  <c r="E15" i="173"/>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L15" i="175"/>
  <c r="K15" i="175"/>
  <c r="N14" i="175"/>
  <c r="M14" i="175"/>
  <c r="J14" i="175"/>
  <c r="I53" i="172" s="1"/>
  <c r="I14" i="175"/>
  <c r="H50" i="267" s="1"/>
  <c r="H14" i="175"/>
  <c r="G53" i="172" s="1"/>
  <c r="G14" i="175"/>
  <c r="F50" i="267" s="1"/>
  <c r="F14" i="175"/>
  <c r="E53" i="172" s="1"/>
  <c r="E14" i="175"/>
  <c r="D50" i="267" s="1"/>
  <c r="D14" i="175"/>
  <c r="C53" i="172" s="1"/>
  <c r="C14" i="175"/>
  <c r="B50" i="267" s="1"/>
  <c r="L13" i="175"/>
  <c r="K13" i="175"/>
  <c r="L12" i="175"/>
  <c r="K12" i="175"/>
  <c r="L11" i="175"/>
  <c r="K11" i="175"/>
  <c r="L10" i="175"/>
  <c r="K10" i="175"/>
  <c r="L9" i="175"/>
  <c r="K9" i="175"/>
  <c r="L8" i="175"/>
  <c r="K8" i="175"/>
  <c r="L7" i="175"/>
  <c r="K7" i="175"/>
  <c r="L6" i="175"/>
  <c r="K6" i="175"/>
  <c r="L5" i="175"/>
  <c r="K5" i="175"/>
  <c r="A2" i="175"/>
  <c r="G63" i="174"/>
  <c r="G18" i="174" s="1"/>
  <c r="F63" i="174"/>
  <c r="F18" i="174" s="1"/>
  <c r="E63" i="174"/>
  <c r="E18" i="174" s="1"/>
  <c r="D63" i="174"/>
  <c r="D18" i="174" s="1"/>
  <c r="F61" i="174"/>
  <c r="E61" i="174"/>
  <c r="D61" i="174"/>
  <c r="G60" i="174"/>
  <c r="F60" i="174"/>
  <c r="E60" i="174"/>
  <c r="D60" i="174"/>
  <c r="F59" i="174"/>
  <c r="E59" i="174"/>
  <c r="G58" i="174"/>
  <c r="F58" i="174"/>
  <c r="E58" i="174"/>
  <c r="D58" i="174"/>
  <c r="H57" i="174"/>
  <c r="G57" i="174"/>
  <c r="F57" i="174"/>
  <c r="E57" i="174"/>
  <c r="D57" i="174"/>
  <c r="A57" i="174"/>
  <c r="G56" i="174"/>
  <c r="F56" i="174"/>
  <c r="E56" i="174"/>
  <c r="D56" i="174"/>
  <c r="A56" i="174"/>
  <c r="A55" i="174"/>
  <c r="F54" i="174"/>
  <c r="E54" i="174"/>
  <c r="D54" i="174"/>
  <c r="A53" i="174"/>
  <c r="A52" i="174"/>
  <c r="F51" i="174"/>
  <c r="E51" i="174"/>
  <c r="D51" i="174"/>
  <c r="A51" i="174"/>
  <c r="G50" i="174"/>
  <c r="F50" i="174"/>
  <c r="E50" i="174"/>
  <c r="D50" i="174"/>
  <c r="D11" i="174" s="1"/>
  <c r="A50" i="174"/>
  <c r="F48" i="174"/>
  <c r="E48" i="174"/>
  <c r="D48" i="174"/>
  <c r="G47" i="174"/>
  <c r="F47" i="174"/>
  <c r="E47" i="174"/>
  <c r="D47" i="174"/>
  <c r="A46" i="174"/>
  <c r="F44" i="174"/>
  <c r="E44" i="174"/>
  <c r="D44" i="174"/>
  <c r="G43" i="174"/>
  <c r="F43" i="174"/>
  <c r="E43" i="174"/>
  <c r="D43" i="174"/>
  <c r="G42" i="174"/>
  <c r="F42" i="174"/>
  <c r="E42" i="174"/>
  <c r="D42" i="174"/>
  <c r="A41" i="174"/>
  <c r="G40" i="174"/>
  <c r="F40" i="174"/>
  <c r="E40" i="174"/>
  <c r="D40" i="174"/>
  <c r="A40" i="174"/>
  <c r="F38" i="174"/>
  <c r="E38" i="174"/>
  <c r="D38" i="174"/>
  <c r="A38" i="174"/>
  <c r="H3" i="174"/>
  <c r="G3" i="174"/>
  <c r="F3" i="174"/>
  <c r="E3" i="174"/>
  <c r="D3" i="174"/>
  <c r="C2" i="174"/>
  <c r="A69" i="251"/>
  <c r="B34" i="251"/>
  <c r="B22" i="251"/>
  <c r="B5" i="251"/>
  <c r="B2" i="251"/>
  <c r="A2" i="251"/>
  <c r="K40" i="177"/>
  <c r="H40" i="177"/>
  <c r="H37" i="177"/>
  <c r="G45" i="267" s="1"/>
  <c r="G37" i="177"/>
  <c r="F45" i="267" s="1"/>
  <c r="F37" i="177"/>
  <c r="E45" i="267" s="1"/>
  <c r="E37" i="177"/>
  <c r="D37" i="177"/>
  <c r="C37" i="177"/>
  <c r="B45" i="267" s="1"/>
  <c r="K37" i="177"/>
  <c r="I36" i="177"/>
  <c r="J36" i="177" s="1"/>
  <c r="J35" i="177"/>
  <c r="I34" i="177"/>
  <c r="J34" i="177" s="1"/>
  <c r="I33" i="177"/>
  <c r="J33" i="177" s="1"/>
  <c r="I32" i="177"/>
  <c r="J32" i="177" s="1"/>
  <c r="H28" i="177"/>
  <c r="G44" i="267" s="1"/>
  <c r="G28" i="177"/>
  <c r="F44" i="267" s="1"/>
  <c r="F28" i="177"/>
  <c r="E44" i="267" s="1"/>
  <c r="E28" i="177"/>
  <c r="D44" i="267" s="1"/>
  <c r="D28" i="177"/>
  <c r="C28" i="177"/>
  <c r="B44" i="267" s="1"/>
  <c r="I27" i="177"/>
  <c r="J27" i="177" s="1"/>
  <c r="I25" i="177"/>
  <c r="J25" i="177" s="1"/>
  <c r="I24" i="177"/>
  <c r="J24" i="177" s="1"/>
  <c r="I23" i="177"/>
  <c r="J23" i="177" s="1"/>
  <c r="K28" i="177"/>
  <c r="I22" i="177"/>
  <c r="J22" i="177" s="1"/>
  <c r="G18" i="177"/>
  <c r="F43" i="267" s="1"/>
  <c r="F18" i="177"/>
  <c r="E18" i="177"/>
  <c r="D18" i="177"/>
  <c r="C43" i="267" s="1"/>
  <c r="C18" i="177"/>
  <c r="I17" i="177"/>
  <c r="J17" i="177" s="1"/>
  <c r="H58" i="174"/>
  <c r="I16" i="177"/>
  <c r="J16" i="177" s="1"/>
  <c r="I15" i="177"/>
  <c r="J15" i="177" s="1"/>
  <c r="I13" i="177"/>
  <c r="J13" i="177" s="1"/>
  <c r="I12" i="177"/>
  <c r="J12" i="177" s="1"/>
  <c r="I11" i="177"/>
  <c r="J11" i="177" s="1"/>
  <c r="I10" i="177"/>
  <c r="J10" i="177" s="1"/>
  <c r="I9" i="177"/>
  <c r="J9" i="177" s="1"/>
  <c r="I8" i="177"/>
  <c r="J8" i="177" s="1"/>
  <c r="K18" i="177"/>
  <c r="I7" i="177"/>
  <c r="J7" i="177" s="1"/>
  <c r="K3" i="177"/>
  <c r="J3" i="177"/>
  <c r="I3" i="177"/>
  <c r="H3" i="177"/>
  <c r="G3" i="177"/>
  <c r="F3" i="177"/>
  <c r="E3" i="177"/>
  <c r="D3" i="177"/>
  <c r="C3" i="177"/>
  <c r="B2" i="177"/>
  <c r="A2" i="177"/>
  <c r="A49" i="178"/>
  <c r="F48" i="178"/>
  <c r="G49" i="174" s="1"/>
  <c r="E48" i="178"/>
  <c r="F49" i="174" s="1"/>
  <c r="D48" i="178"/>
  <c r="E49" i="174" s="1"/>
  <c r="C48" i="178"/>
  <c r="D49" i="174" s="1"/>
  <c r="H50" i="174"/>
  <c r="G48" i="178"/>
  <c r="H49" i="174" s="1"/>
  <c r="E40" i="178"/>
  <c r="D40" i="178"/>
  <c r="C39" i="267" s="1"/>
  <c r="C40" i="178"/>
  <c r="B39" i="267" s="1"/>
  <c r="H51" i="174"/>
  <c r="G51" i="174"/>
  <c r="E35" i="178"/>
  <c r="F53" i="174" s="1"/>
  <c r="D35" i="178"/>
  <c r="C35" i="178"/>
  <c r="D53" i="174" s="1"/>
  <c r="H48" i="174"/>
  <c r="E25" i="178"/>
  <c r="D37" i="267" s="1"/>
  <c r="D25" i="178"/>
  <c r="C25" i="178"/>
  <c r="B37" i="267" s="1"/>
  <c r="H63" i="174"/>
  <c r="H18" i="174" s="1"/>
  <c r="E13" i="178"/>
  <c r="F52" i="174" s="1"/>
  <c r="D13" i="178"/>
  <c r="E52" i="174" s="1"/>
  <c r="D59" i="174"/>
  <c r="H59" i="174"/>
  <c r="H54" i="174"/>
  <c r="G3" i="178"/>
  <c r="F3" i="178"/>
  <c r="E3" i="178"/>
  <c r="D3" i="178"/>
  <c r="C3" i="178"/>
  <c r="B2" i="178"/>
  <c r="A2" i="178"/>
  <c r="A344" i="324"/>
  <c r="I342" i="324"/>
  <c r="J342" i="324" s="1"/>
  <c r="W340" i="324"/>
  <c r="V340" i="324"/>
  <c r="U340" i="324"/>
  <c r="T340" i="324"/>
  <c r="S340" i="324"/>
  <c r="R340" i="324"/>
  <c r="Q340" i="324"/>
  <c r="P340" i="324"/>
  <c r="O340" i="324"/>
  <c r="N340" i="324"/>
  <c r="M340" i="324"/>
  <c r="L340" i="324"/>
  <c r="I340" i="324"/>
  <c r="J340" i="324" s="1"/>
  <c r="A340" i="324"/>
  <c r="I339" i="324"/>
  <c r="J339" i="324" s="1"/>
  <c r="A339" i="324"/>
  <c r="I338" i="324"/>
  <c r="J338" i="324" s="1"/>
  <c r="A338" i="324"/>
  <c r="I337" i="324"/>
  <c r="J337" i="324" s="1"/>
  <c r="A337" i="324"/>
  <c r="I336" i="324"/>
  <c r="J336" i="324" s="1"/>
  <c r="A336" i="324"/>
  <c r="I335" i="324"/>
  <c r="J335" i="324" s="1"/>
  <c r="A335" i="324"/>
  <c r="I334" i="324"/>
  <c r="J334" i="324" s="1"/>
  <c r="A334" i="324"/>
  <c r="I333" i="324"/>
  <c r="J333" i="324" s="1"/>
  <c r="A333" i="324"/>
  <c r="I332" i="324"/>
  <c r="J332" i="324" s="1"/>
  <c r="A332" i="324"/>
  <c r="I331" i="324"/>
  <c r="J331" i="324" s="1"/>
  <c r="A331" i="324"/>
  <c r="K330" i="324"/>
  <c r="K38" i="268" s="1"/>
  <c r="H330" i="324"/>
  <c r="G330" i="324"/>
  <c r="F330" i="324"/>
  <c r="F38" i="268" s="1"/>
  <c r="E330" i="324"/>
  <c r="E38" i="268" s="1"/>
  <c r="D330" i="324"/>
  <c r="D38" i="268" s="1"/>
  <c r="C330" i="324"/>
  <c r="C38" i="268" s="1"/>
  <c r="I329" i="324"/>
  <c r="J329" i="324" s="1"/>
  <c r="A329" i="324"/>
  <c r="I328" i="324"/>
  <c r="J328" i="324" s="1"/>
  <c r="A328" i="324"/>
  <c r="I327" i="324"/>
  <c r="J327" i="324" s="1"/>
  <c r="A327" i="324"/>
  <c r="I326" i="324"/>
  <c r="J326" i="324" s="1"/>
  <c r="A326" i="324"/>
  <c r="I325" i="324"/>
  <c r="J325" i="324" s="1"/>
  <c r="A325" i="324"/>
  <c r="I324" i="324"/>
  <c r="J324" i="324" s="1"/>
  <c r="A324" i="324"/>
  <c r="I323" i="324"/>
  <c r="J323" i="324" s="1"/>
  <c r="A323" i="324"/>
  <c r="I322" i="324"/>
  <c r="J322" i="324" s="1"/>
  <c r="A322" i="324"/>
  <c r="I321" i="324"/>
  <c r="J321" i="324" s="1"/>
  <c r="A321" i="324"/>
  <c r="I320" i="324"/>
  <c r="J320" i="324" s="1"/>
  <c r="A320" i="324"/>
  <c r="K319" i="324"/>
  <c r="H319" i="324"/>
  <c r="G319" i="324"/>
  <c r="I319" i="324" s="1"/>
  <c r="F319" i="324"/>
  <c r="F37" i="268" s="1"/>
  <c r="E319" i="324"/>
  <c r="E37" i="268" s="1"/>
  <c r="D319" i="324"/>
  <c r="C319" i="324"/>
  <c r="C37" i="268" s="1"/>
  <c r="I318" i="324"/>
  <c r="J318" i="324" s="1"/>
  <c r="A318" i="324"/>
  <c r="I317" i="324"/>
  <c r="J317" i="324" s="1"/>
  <c r="A317" i="324"/>
  <c r="I316" i="324"/>
  <c r="J316" i="324" s="1"/>
  <c r="A316" i="324"/>
  <c r="I315" i="324"/>
  <c r="J315" i="324" s="1"/>
  <c r="A315" i="324"/>
  <c r="I314" i="324"/>
  <c r="J314" i="324" s="1"/>
  <c r="A314" i="324"/>
  <c r="I313" i="324"/>
  <c r="J313" i="324" s="1"/>
  <c r="A313" i="324"/>
  <c r="I312" i="324"/>
  <c r="J312" i="324" s="1"/>
  <c r="A312" i="324"/>
  <c r="I311" i="324"/>
  <c r="J311" i="324" s="1"/>
  <c r="A311" i="324"/>
  <c r="I310" i="324"/>
  <c r="J310" i="324" s="1"/>
  <c r="A310" i="324"/>
  <c r="I309" i="324"/>
  <c r="J309" i="324" s="1"/>
  <c r="A309" i="324"/>
  <c r="K308" i="324"/>
  <c r="H308" i="324"/>
  <c r="H36" i="268" s="1"/>
  <c r="G308" i="324"/>
  <c r="F308" i="324"/>
  <c r="F36" i="268" s="1"/>
  <c r="E308" i="324"/>
  <c r="E36" i="268" s="1"/>
  <c r="D308" i="324"/>
  <c r="D36" i="268" s="1"/>
  <c r="C308" i="324"/>
  <c r="I307" i="324"/>
  <c r="J307" i="324" s="1"/>
  <c r="A307" i="324"/>
  <c r="I306" i="324"/>
  <c r="J306" i="324" s="1"/>
  <c r="A306" i="324"/>
  <c r="I305" i="324"/>
  <c r="J305" i="324" s="1"/>
  <c r="A305" i="324"/>
  <c r="I304" i="324"/>
  <c r="J304" i="324" s="1"/>
  <c r="A304" i="324"/>
  <c r="I303" i="324"/>
  <c r="J303" i="324" s="1"/>
  <c r="A303" i="324"/>
  <c r="I302" i="324"/>
  <c r="J302" i="324" s="1"/>
  <c r="A302" i="324"/>
  <c r="I301" i="324"/>
  <c r="J301" i="324" s="1"/>
  <c r="A301" i="324"/>
  <c r="I300" i="324"/>
  <c r="J300" i="324" s="1"/>
  <c r="A300" i="324"/>
  <c r="I299" i="324"/>
  <c r="J299" i="324" s="1"/>
  <c r="A299" i="324"/>
  <c r="I298" i="324"/>
  <c r="J298" i="324" s="1"/>
  <c r="A298" i="324"/>
  <c r="K297" i="324"/>
  <c r="H297" i="324"/>
  <c r="G297" i="324"/>
  <c r="G35" i="268" s="1"/>
  <c r="F297" i="324"/>
  <c r="E297" i="324"/>
  <c r="E35" i="268" s="1"/>
  <c r="D297" i="324"/>
  <c r="C297" i="324"/>
  <c r="C35" i="268" s="1"/>
  <c r="I296" i="324"/>
  <c r="J296" i="324" s="1"/>
  <c r="A296" i="324"/>
  <c r="I295" i="324"/>
  <c r="J295" i="324" s="1"/>
  <c r="A295" i="324"/>
  <c r="I294" i="324"/>
  <c r="J294" i="324" s="1"/>
  <c r="A294" i="324"/>
  <c r="I293" i="324"/>
  <c r="J293" i="324" s="1"/>
  <c r="A293" i="324"/>
  <c r="I292" i="324"/>
  <c r="J292" i="324" s="1"/>
  <c r="A292" i="324"/>
  <c r="I291" i="324"/>
  <c r="J291" i="324" s="1"/>
  <c r="A291" i="324"/>
  <c r="I290" i="324"/>
  <c r="J290" i="324" s="1"/>
  <c r="A290" i="324"/>
  <c r="I289" i="324"/>
  <c r="J289" i="324" s="1"/>
  <c r="A289" i="324"/>
  <c r="I288" i="324"/>
  <c r="J288" i="324" s="1"/>
  <c r="A288" i="324"/>
  <c r="I287" i="324"/>
  <c r="J287" i="324" s="1"/>
  <c r="A287" i="324"/>
  <c r="K286" i="324"/>
  <c r="H286" i="324"/>
  <c r="H34" i="268" s="1"/>
  <c r="G286" i="324"/>
  <c r="F286" i="324"/>
  <c r="F34" i="268" s="1"/>
  <c r="E286" i="324"/>
  <c r="E34" i="268" s="1"/>
  <c r="D286" i="324"/>
  <c r="D34" i="268" s="1"/>
  <c r="C286" i="324"/>
  <c r="C34" i="268" s="1"/>
  <c r="I285" i="324"/>
  <c r="J285" i="324" s="1"/>
  <c r="A285" i="324"/>
  <c r="I284" i="324"/>
  <c r="J284" i="324" s="1"/>
  <c r="A284" i="324"/>
  <c r="I283" i="324"/>
  <c r="J283" i="324" s="1"/>
  <c r="A283" i="324"/>
  <c r="I282" i="324"/>
  <c r="J282" i="324" s="1"/>
  <c r="A282" i="324"/>
  <c r="I281" i="324"/>
  <c r="J281" i="324" s="1"/>
  <c r="A281" i="324"/>
  <c r="I280" i="324"/>
  <c r="J280" i="324" s="1"/>
  <c r="A280" i="324"/>
  <c r="I279" i="324"/>
  <c r="J279" i="324" s="1"/>
  <c r="A279" i="324"/>
  <c r="I278" i="324"/>
  <c r="J278" i="324" s="1"/>
  <c r="A278" i="324"/>
  <c r="I277" i="324"/>
  <c r="J277" i="324" s="1"/>
  <c r="A277" i="324"/>
  <c r="I276" i="324"/>
  <c r="J276" i="324" s="1"/>
  <c r="C275" i="324"/>
  <c r="C33" i="268" s="1"/>
  <c r="A276" i="324"/>
  <c r="H275" i="324"/>
  <c r="H33" i="268" s="1"/>
  <c r="G275" i="324"/>
  <c r="F275" i="324"/>
  <c r="F33" i="268" s="1"/>
  <c r="D275" i="324"/>
  <c r="D33" i="268" s="1"/>
  <c r="I274" i="324"/>
  <c r="J274" i="324" s="1"/>
  <c r="A274" i="324"/>
  <c r="I273" i="324"/>
  <c r="J273" i="324" s="1"/>
  <c r="A273" i="324"/>
  <c r="I272" i="324"/>
  <c r="J272" i="324" s="1"/>
  <c r="A272" i="324"/>
  <c r="I271" i="324"/>
  <c r="J271" i="324" s="1"/>
  <c r="A271" i="324"/>
  <c r="I270" i="324"/>
  <c r="J270" i="324" s="1"/>
  <c r="A270" i="324"/>
  <c r="I269" i="324"/>
  <c r="J269" i="324" s="1"/>
  <c r="A269" i="324"/>
  <c r="I268" i="324"/>
  <c r="J268" i="324" s="1"/>
  <c r="A268" i="324"/>
  <c r="I267" i="324"/>
  <c r="J267" i="324" s="1"/>
  <c r="A267" i="324"/>
  <c r="I266" i="324"/>
  <c r="J266" i="324" s="1"/>
  <c r="A266" i="324"/>
  <c r="I265" i="324"/>
  <c r="J265" i="324" s="1"/>
  <c r="A265" i="324"/>
  <c r="H264" i="324"/>
  <c r="G264" i="324"/>
  <c r="G32" i="268" s="1"/>
  <c r="F264" i="324"/>
  <c r="F32" i="268" s="1"/>
  <c r="E264" i="324"/>
  <c r="E32" i="268" s="1"/>
  <c r="D264" i="324"/>
  <c r="D32" i="268" s="1"/>
  <c r="C264" i="324"/>
  <c r="C32" i="268" s="1"/>
  <c r="I263" i="324"/>
  <c r="J263" i="324" s="1"/>
  <c r="A263" i="324"/>
  <c r="I262" i="324"/>
  <c r="J262" i="324" s="1"/>
  <c r="A262" i="324"/>
  <c r="I261" i="324"/>
  <c r="J261" i="324" s="1"/>
  <c r="A261" i="324"/>
  <c r="I260" i="324"/>
  <c r="J260" i="324" s="1"/>
  <c r="A260" i="324"/>
  <c r="I259" i="324"/>
  <c r="J259" i="324" s="1"/>
  <c r="A259" i="324"/>
  <c r="I258" i="324"/>
  <c r="J258" i="324" s="1"/>
  <c r="A258" i="324"/>
  <c r="I257" i="324"/>
  <c r="J257" i="324" s="1"/>
  <c r="A257" i="324"/>
  <c r="I256" i="324"/>
  <c r="J256" i="324" s="1"/>
  <c r="A256" i="324"/>
  <c r="I255" i="324"/>
  <c r="J255" i="324" s="1"/>
  <c r="A255" i="324"/>
  <c r="I254" i="324"/>
  <c r="J254" i="324" s="1"/>
  <c r="A254" i="324"/>
  <c r="H253" i="324"/>
  <c r="H31" i="268" s="1"/>
  <c r="G253" i="324"/>
  <c r="G31" i="268" s="1"/>
  <c r="F253" i="324"/>
  <c r="F31" i="268" s="1"/>
  <c r="E253" i="324"/>
  <c r="E31" i="268" s="1"/>
  <c r="D253" i="324"/>
  <c r="D31" i="268" s="1"/>
  <c r="C253" i="324"/>
  <c r="C31" i="268" s="1"/>
  <c r="I252" i="324"/>
  <c r="J252" i="324" s="1"/>
  <c r="A252" i="324"/>
  <c r="I251" i="324"/>
  <c r="J251" i="324" s="1"/>
  <c r="A251" i="324"/>
  <c r="I250" i="324"/>
  <c r="J250" i="324" s="1"/>
  <c r="A250" i="324"/>
  <c r="I249" i="324"/>
  <c r="J249" i="324" s="1"/>
  <c r="A249" i="324"/>
  <c r="I248" i="324"/>
  <c r="J248" i="324" s="1"/>
  <c r="A248" i="324"/>
  <c r="I247" i="324"/>
  <c r="J247" i="324" s="1"/>
  <c r="A247" i="324"/>
  <c r="I246" i="324"/>
  <c r="J246" i="324" s="1"/>
  <c r="A246" i="324"/>
  <c r="I245" i="324"/>
  <c r="J245" i="324" s="1"/>
  <c r="A245" i="324"/>
  <c r="I244" i="324"/>
  <c r="J244" i="324" s="1"/>
  <c r="A244" i="324"/>
  <c r="K242" i="324"/>
  <c r="K30" i="268" s="1"/>
  <c r="I243" i="324"/>
  <c r="J243" i="324" s="1"/>
  <c r="A243" i="324"/>
  <c r="H242" i="324"/>
  <c r="H30" i="268" s="1"/>
  <c r="G242" i="324"/>
  <c r="G30" i="268" s="1"/>
  <c r="F242" i="324"/>
  <c r="F30" i="268" s="1"/>
  <c r="E242" i="324"/>
  <c r="E30" i="268" s="1"/>
  <c r="D242" i="324"/>
  <c r="D30" i="268" s="1"/>
  <c r="C242" i="324"/>
  <c r="C30" i="268" s="1"/>
  <c r="I241" i="324"/>
  <c r="J241" i="324" s="1"/>
  <c r="A241" i="324"/>
  <c r="I240" i="324"/>
  <c r="J240" i="324" s="1"/>
  <c r="A240" i="324"/>
  <c r="I239" i="324"/>
  <c r="J239" i="324" s="1"/>
  <c r="A239" i="324"/>
  <c r="I238" i="324"/>
  <c r="J238" i="324" s="1"/>
  <c r="A238" i="324"/>
  <c r="I237" i="324"/>
  <c r="J237" i="324" s="1"/>
  <c r="A237" i="324"/>
  <c r="I236" i="324"/>
  <c r="J236" i="324" s="1"/>
  <c r="A236" i="324"/>
  <c r="I235" i="324"/>
  <c r="J235" i="324" s="1"/>
  <c r="A235" i="324"/>
  <c r="I234" i="324"/>
  <c r="J234" i="324" s="1"/>
  <c r="A234" i="324"/>
  <c r="I233" i="324"/>
  <c r="J233" i="324" s="1"/>
  <c r="A233" i="324"/>
  <c r="K231" i="324"/>
  <c r="K29" i="268" s="1"/>
  <c r="I232" i="324"/>
  <c r="J232" i="324" s="1"/>
  <c r="A232" i="324"/>
  <c r="H231" i="324"/>
  <c r="H29" i="268" s="1"/>
  <c r="G231" i="324"/>
  <c r="G29" i="268" s="1"/>
  <c r="F231" i="324"/>
  <c r="F29" i="268" s="1"/>
  <c r="E231" i="324"/>
  <c r="E29" i="268" s="1"/>
  <c r="D231" i="324"/>
  <c r="C231" i="324"/>
  <c r="C29" i="268" s="1"/>
  <c r="I230" i="324"/>
  <c r="J230" i="324" s="1"/>
  <c r="A230" i="324"/>
  <c r="I229" i="324"/>
  <c r="J229" i="324" s="1"/>
  <c r="A229" i="324"/>
  <c r="I228" i="324"/>
  <c r="J228" i="324" s="1"/>
  <c r="C220" i="324"/>
  <c r="A228" i="324"/>
  <c r="I227" i="324"/>
  <c r="J227" i="324" s="1"/>
  <c r="A227" i="324"/>
  <c r="I226" i="324"/>
  <c r="J226" i="324" s="1"/>
  <c r="A226" i="324"/>
  <c r="I225" i="324"/>
  <c r="J225" i="324" s="1"/>
  <c r="A225" i="324"/>
  <c r="I224" i="324"/>
  <c r="J224" i="324" s="1"/>
  <c r="A224" i="324"/>
  <c r="I223" i="324"/>
  <c r="J223" i="324" s="1"/>
  <c r="A223" i="324"/>
  <c r="I222" i="324"/>
  <c r="J222" i="324" s="1"/>
  <c r="A222" i="324"/>
  <c r="I221" i="324"/>
  <c r="J221" i="324" s="1"/>
  <c r="A221" i="324"/>
  <c r="H220" i="324"/>
  <c r="H28" i="268" s="1"/>
  <c r="G220" i="324"/>
  <c r="G28" i="268" s="1"/>
  <c r="F220" i="324"/>
  <c r="F28" i="268" s="1"/>
  <c r="E220" i="324"/>
  <c r="D220" i="324"/>
  <c r="D28" i="268" s="1"/>
  <c r="I219" i="324"/>
  <c r="J219" i="324" s="1"/>
  <c r="A219" i="324"/>
  <c r="I218" i="324"/>
  <c r="J218" i="324" s="1"/>
  <c r="A218" i="324"/>
  <c r="I217" i="324"/>
  <c r="J217" i="324" s="1"/>
  <c r="A217" i="324"/>
  <c r="I216" i="324"/>
  <c r="J216" i="324" s="1"/>
  <c r="A216" i="324"/>
  <c r="I215" i="324"/>
  <c r="J215" i="324" s="1"/>
  <c r="A215" i="324"/>
  <c r="I214" i="324"/>
  <c r="J214" i="324" s="1"/>
  <c r="A214" i="324"/>
  <c r="I213" i="324"/>
  <c r="J213" i="324" s="1"/>
  <c r="A213" i="324"/>
  <c r="I212" i="324"/>
  <c r="J212" i="324" s="1"/>
  <c r="A212" i="324"/>
  <c r="I211" i="324"/>
  <c r="J211" i="324" s="1"/>
  <c r="A211" i="324"/>
  <c r="I210" i="324"/>
  <c r="J210" i="324" s="1"/>
  <c r="A210" i="324"/>
  <c r="H209" i="324"/>
  <c r="G209" i="324"/>
  <c r="F209" i="324"/>
  <c r="E27" i="268"/>
  <c r="D209" i="324"/>
  <c r="I208" i="324"/>
  <c r="J208" i="324" s="1"/>
  <c r="A208" i="324"/>
  <c r="I207" i="324"/>
  <c r="J207" i="324" s="1"/>
  <c r="A207" i="324"/>
  <c r="I206" i="324"/>
  <c r="J206" i="324" s="1"/>
  <c r="A206" i="324"/>
  <c r="I205" i="324"/>
  <c r="J205" i="324" s="1"/>
  <c r="A205" i="324"/>
  <c r="I204" i="324"/>
  <c r="J204" i="324" s="1"/>
  <c r="A204" i="324"/>
  <c r="I203" i="324"/>
  <c r="J203" i="324" s="1"/>
  <c r="A203" i="324"/>
  <c r="I202" i="324"/>
  <c r="J202" i="324" s="1"/>
  <c r="A202" i="324"/>
  <c r="I201" i="324"/>
  <c r="J201" i="324" s="1"/>
  <c r="A201" i="324"/>
  <c r="I200" i="324"/>
  <c r="J200" i="324" s="1"/>
  <c r="A200" i="324"/>
  <c r="I199" i="324"/>
  <c r="J199" i="324" s="1"/>
  <c r="A199" i="324"/>
  <c r="K198" i="324"/>
  <c r="K26" i="268" s="1"/>
  <c r="D198" i="324"/>
  <c r="D26" i="268" s="1"/>
  <c r="C198" i="324"/>
  <c r="C26" i="268" s="1"/>
  <c r="I197" i="324"/>
  <c r="J197" i="324" s="1"/>
  <c r="A197" i="324"/>
  <c r="I196" i="324"/>
  <c r="J196" i="324" s="1"/>
  <c r="A196" i="324"/>
  <c r="I195" i="324"/>
  <c r="J195" i="324" s="1"/>
  <c r="A195" i="324"/>
  <c r="I194" i="324"/>
  <c r="J194" i="324" s="1"/>
  <c r="A194" i="324"/>
  <c r="I193" i="324"/>
  <c r="J193" i="324" s="1"/>
  <c r="A193" i="324"/>
  <c r="I192" i="324"/>
  <c r="J192" i="324" s="1"/>
  <c r="A192" i="324"/>
  <c r="I191" i="324"/>
  <c r="J191" i="324" s="1"/>
  <c r="A191" i="324"/>
  <c r="I190" i="324"/>
  <c r="J190" i="324" s="1"/>
  <c r="A190" i="324"/>
  <c r="I189" i="324"/>
  <c r="J189" i="324" s="1"/>
  <c r="A189" i="324"/>
  <c r="I188" i="324"/>
  <c r="J188" i="324" s="1"/>
  <c r="A188" i="324"/>
  <c r="K187" i="324"/>
  <c r="K25" i="268" s="1"/>
  <c r="H187" i="324"/>
  <c r="H25" i="268" s="1"/>
  <c r="G187" i="324"/>
  <c r="F187" i="324"/>
  <c r="F25" i="268" s="1"/>
  <c r="E187" i="324"/>
  <c r="D187" i="324"/>
  <c r="D25" i="268" s="1"/>
  <c r="C187" i="324"/>
  <c r="C25" i="268" s="1"/>
  <c r="I186" i="324"/>
  <c r="J186" i="324" s="1"/>
  <c r="A186" i="324"/>
  <c r="I185" i="324"/>
  <c r="J185" i="324" s="1"/>
  <c r="A185" i="324"/>
  <c r="I184" i="324"/>
  <c r="J184" i="324" s="1"/>
  <c r="A184" i="324"/>
  <c r="I183" i="324"/>
  <c r="J183" i="324" s="1"/>
  <c r="A183" i="324"/>
  <c r="I182" i="324"/>
  <c r="J182" i="324" s="1"/>
  <c r="A182" i="324"/>
  <c r="I181" i="324"/>
  <c r="J181" i="324" s="1"/>
  <c r="A181" i="324"/>
  <c r="I180" i="324"/>
  <c r="J180" i="324" s="1"/>
  <c r="A180" i="324"/>
  <c r="I179" i="324"/>
  <c r="J179" i="324" s="1"/>
  <c r="A179" i="324"/>
  <c r="I178" i="324"/>
  <c r="J178" i="324" s="1"/>
  <c r="A178" i="324"/>
  <c r="I177" i="324"/>
  <c r="J177" i="324" s="1"/>
  <c r="A177" i="324"/>
  <c r="K176" i="324"/>
  <c r="K24" i="268" s="1"/>
  <c r="G176" i="324"/>
  <c r="G24" i="268" s="1"/>
  <c r="F176" i="324"/>
  <c r="F24" i="268" s="1"/>
  <c r="E176" i="324"/>
  <c r="E24" i="268" s="1"/>
  <c r="D176" i="324"/>
  <c r="D24" i="268" s="1"/>
  <c r="C176" i="324"/>
  <c r="C24" i="268" s="1"/>
  <c r="I175" i="324"/>
  <c r="J175" i="324" s="1"/>
  <c r="I173" i="324"/>
  <c r="J173" i="324" s="1"/>
  <c r="W171" i="324"/>
  <c r="W342" i="324" s="1"/>
  <c r="V171" i="324"/>
  <c r="U171" i="324"/>
  <c r="U342" i="324" s="1"/>
  <c r="T171" i="324"/>
  <c r="S171" i="324"/>
  <c r="S342" i="324" s="1"/>
  <c r="R171" i="324"/>
  <c r="Q171" i="324"/>
  <c r="Q342" i="324" s="1"/>
  <c r="P171" i="324"/>
  <c r="O171" i="324"/>
  <c r="O342" i="324" s="1"/>
  <c r="N171" i="324"/>
  <c r="M171" i="324"/>
  <c r="M342" i="324" s="1"/>
  <c r="L171" i="324"/>
  <c r="I171" i="324"/>
  <c r="J171" i="324" s="1"/>
  <c r="A171" i="324"/>
  <c r="I170" i="324"/>
  <c r="J170" i="324" s="1"/>
  <c r="A170" i="324"/>
  <c r="I169" i="324"/>
  <c r="J169" i="324" s="1"/>
  <c r="A169" i="324"/>
  <c r="I168" i="324"/>
  <c r="J168" i="324" s="1"/>
  <c r="A168" i="324"/>
  <c r="I167" i="324"/>
  <c r="J167" i="324" s="1"/>
  <c r="A167" i="324"/>
  <c r="I166" i="324"/>
  <c r="J166" i="324" s="1"/>
  <c r="A166" i="324"/>
  <c r="I165" i="324"/>
  <c r="J165" i="324" s="1"/>
  <c r="A165" i="324"/>
  <c r="I164" i="324"/>
  <c r="J164" i="324" s="1"/>
  <c r="A164" i="324"/>
  <c r="I163" i="324"/>
  <c r="J163" i="324" s="1"/>
  <c r="A163" i="324"/>
  <c r="I162" i="324"/>
  <c r="J162" i="324" s="1"/>
  <c r="A162" i="324"/>
  <c r="K161" i="324"/>
  <c r="K20" i="268" s="1"/>
  <c r="H161" i="324"/>
  <c r="H20" i="268" s="1"/>
  <c r="G161" i="324"/>
  <c r="F161" i="324"/>
  <c r="F20" i="268" s="1"/>
  <c r="E161" i="324"/>
  <c r="E20" i="268" s="1"/>
  <c r="D161" i="324"/>
  <c r="D20" i="268" s="1"/>
  <c r="C161" i="324"/>
  <c r="I160" i="324"/>
  <c r="J160" i="324" s="1"/>
  <c r="A160" i="324"/>
  <c r="I159" i="324"/>
  <c r="J159" i="324" s="1"/>
  <c r="A159" i="324"/>
  <c r="I158" i="324"/>
  <c r="J158" i="324" s="1"/>
  <c r="A158" i="324"/>
  <c r="I157" i="324"/>
  <c r="J157" i="324" s="1"/>
  <c r="A157" i="324"/>
  <c r="I156" i="324"/>
  <c r="J156" i="324" s="1"/>
  <c r="A156" i="324"/>
  <c r="I155" i="324"/>
  <c r="J155" i="324" s="1"/>
  <c r="A155" i="324"/>
  <c r="I154" i="324"/>
  <c r="J154" i="324" s="1"/>
  <c r="A154" i="324"/>
  <c r="I153" i="324"/>
  <c r="J153" i="324" s="1"/>
  <c r="A153" i="324"/>
  <c r="I152" i="324"/>
  <c r="J152" i="324" s="1"/>
  <c r="A152" i="324"/>
  <c r="I151" i="324"/>
  <c r="J151" i="324" s="1"/>
  <c r="A151" i="324"/>
  <c r="K150" i="324"/>
  <c r="K19" i="268" s="1"/>
  <c r="H150" i="324"/>
  <c r="H19" i="268" s="1"/>
  <c r="G150" i="324"/>
  <c r="I150" i="324" s="1"/>
  <c r="J150" i="324" s="1"/>
  <c r="F150" i="324"/>
  <c r="F19" i="268" s="1"/>
  <c r="E150" i="324"/>
  <c r="E19" i="268" s="1"/>
  <c r="D150" i="324"/>
  <c r="D19" i="268" s="1"/>
  <c r="C150" i="324"/>
  <c r="I149" i="324"/>
  <c r="J149" i="324" s="1"/>
  <c r="A149" i="324"/>
  <c r="I148" i="324"/>
  <c r="J148" i="324" s="1"/>
  <c r="A148" i="324"/>
  <c r="I147" i="324"/>
  <c r="J147" i="324" s="1"/>
  <c r="A147" i="324"/>
  <c r="I146" i="324"/>
  <c r="J146" i="324" s="1"/>
  <c r="A146" i="324"/>
  <c r="I145" i="324"/>
  <c r="J145" i="324" s="1"/>
  <c r="A145" i="324"/>
  <c r="I144" i="324"/>
  <c r="J144" i="324" s="1"/>
  <c r="A144" i="324"/>
  <c r="I143" i="324"/>
  <c r="J143" i="324" s="1"/>
  <c r="A143" i="324"/>
  <c r="I142" i="324"/>
  <c r="J142" i="324" s="1"/>
  <c r="A142" i="324"/>
  <c r="I141" i="324"/>
  <c r="J141" i="324" s="1"/>
  <c r="A141" i="324"/>
  <c r="I140" i="324"/>
  <c r="J140" i="324" s="1"/>
  <c r="A140" i="324"/>
  <c r="K139" i="324"/>
  <c r="H139" i="324"/>
  <c r="H18" i="268" s="1"/>
  <c r="G139" i="324"/>
  <c r="F139" i="324"/>
  <c r="E139" i="324"/>
  <c r="E18" i="268" s="1"/>
  <c r="D139" i="324"/>
  <c r="C139" i="324"/>
  <c r="C18" i="268" s="1"/>
  <c r="I138" i="324"/>
  <c r="J138" i="324" s="1"/>
  <c r="A138" i="324"/>
  <c r="I137" i="324"/>
  <c r="J137" i="324" s="1"/>
  <c r="A137" i="324"/>
  <c r="I136" i="324"/>
  <c r="J136" i="324" s="1"/>
  <c r="A136" i="324"/>
  <c r="I135" i="324"/>
  <c r="J135" i="324" s="1"/>
  <c r="A135" i="324"/>
  <c r="I134" i="324"/>
  <c r="J134" i="324" s="1"/>
  <c r="A134" i="324"/>
  <c r="I133" i="324"/>
  <c r="J133" i="324" s="1"/>
  <c r="A133" i="324"/>
  <c r="I132" i="324"/>
  <c r="J132" i="324" s="1"/>
  <c r="A132" i="324"/>
  <c r="I131" i="324"/>
  <c r="J131" i="324" s="1"/>
  <c r="A131" i="324"/>
  <c r="I130" i="324"/>
  <c r="J130" i="324" s="1"/>
  <c r="A130" i="324"/>
  <c r="I129" i="324"/>
  <c r="J129" i="324" s="1"/>
  <c r="A129" i="324"/>
  <c r="K128" i="324"/>
  <c r="K17" i="268" s="1"/>
  <c r="H128" i="324"/>
  <c r="H17" i="268" s="1"/>
  <c r="G128" i="324"/>
  <c r="F128" i="324"/>
  <c r="F17" i="268" s="1"/>
  <c r="E128" i="324"/>
  <c r="E17" i="268" s="1"/>
  <c r="D128" i="324"/>
  <c r="D17" i="268" s="1"/>
  <c r="C128" i="324"/>
  <c r="C17" i="268" s="1"/>
  <c r="I127" i="324"/>
  <c r="J127" i="324" s="1"/>
  <c r="A127" i="324"/>
  <c r="I126" i="324"/>
  <c r="J126" i="324" s="1"/>
  <c r="A126" i="324"/>
  <c r="I125" i="324"/>
  <c r="J125" i="324" s="1"/>
  <c r="A125" i="324"/>
  <c r="I124" i="324"/>
  <c r="J124" i="324" s="1"/>
  <c r="A124" i="324"/>
  <c r="I123" i="324"/>
  <c r="J123" i="324" s="1"/>
  <c r="A123" i="324"/>
  <c r="I122" i="324"/>
  <c r="J122" i="324" s="1"/>
  <c r="A122" i="324"/>
  <c r="I121" i="324"/>
  <c r="J121" i="324" s="1"/>
  <c r="A121" i="324"/>
  <c r="I120" i="324"/>
  <c r="J120" i="324" s="1"/>
  <c r="A120" i="324"/>
  <c r="I119" i="324"/>
  <c r="J119" i="324" s="1"/>
  <c r="A119" i="324"/>
  <c r="I118" i="324"/>
  <c r="J118" i="324" s="1"/>
  <c r="A118" i="324"/>
  <c r="K117" i="324"/>
  <c r="K16" i="268" s="1"/>
  <c r="H117" i="324"/>
  <c r="G117" i="324"/>
  <c r="F117" i="324"/>
  <c r="F16" i="268" s="1"/>
  <c r="E117" i="324"/>
  <c r="E16" i="268" s="1"/>
  <c r="D117" i="324"/>
  <c r="C117" i="324"/>
  <c r="C16" i="268" s="1"/>
  <c r="K116" i="324"/>
  <c r="I116" i="324"/>
  <c r="J116" i="324" s="1"/>
  <c r="A116" i="324"/>
  <c r="K115" i="324"/>
  <c r="I115" i="324"/>
  <c r="J115" i="324" s="1"/>
  <c r="A115" i="324"/>
  <c r="K114" i="324"/>
  <c r="I114" i="324"/>
  <c r="J114" i="324" s="1"/>
  <c r="A114" i="324"/>
  <c r="K113" i="324"/>
  <c r="I113" i="324"/>
  <c r="J113" i="324" s="1"/>
  <c r="A113" i="324"/>
  <c r="K112" i="324"/>
  <c r="I112" i="324"/>
  <c r="J112" i="324" s="1"/>
  <c r="A112" i="324"/>
  <c r="K111" i="324"/>
  <c r="I111" i="324"/>
  <c r="J111" i="324" s="1"/>
  <c r="A111" i="324"/>
  <c r="K110" i="324"/>
  <c r="I110" i="324"/>
  <c r="J110" i="324" s="1"/>
  <c r="A110" i="324"/>
  <c r="K109" i="324"/>
  <c r="I109" i="324"/>
  <c r="J109" i="324" s="1"/>
  <c r="A109" i="324"/>
  <c r="K108" i="324"/>
  <c r="I108" i="324"/>
  <c r="J108" i="324" s="1"/>
  <c r="A108" i="324"/>
  <c r="K107" i="324"/>
  <c r="I107" i="324"/>
  <c r="J107" i="324" s="1"/>
  <c r="A107" i="324"/>
  <c r="H106" i="324"/>
  <c r="G106" i="324"/>
  <c r="F106" i="324"/>
  <c r="F15" i="268" s="1"/>
  <c r="E106" i="324"/>
  <c r="D106" i="324"/>
  <c r="D15" i="268" s="1"/>
  <c r="C106" i="324"/>
  <c r="K105" i="324"/>
  <c r="I105" i="324"/>
  <c r="J105" i="324" s="1"/>
  <c r="A105" i="324"/>
  <c r="K104" i="324"/>
  <c r="I104" i="324"/>
  <c r="J104" i="324" s="1"/>
  <c r="A104" i="324"/>
  <c r="K103" i="324"/>
  <c r="I103" i="324"/>
  <c r="J103" i="324" s="1"/>
  <c r="A103" i="324"/>
  <c r="K102" i="324"/>
  <c r="I102" i="324"/>
  <c r="J102" i="324" s="1"/>
  <c r="A102" i="324"/>
  <c r="K101" i="324"/>
  <c r="I101" i="324"/>
  <c r="J101" i="324" s="1"/>
  <c r="A101" i="324"/>
  <c r="K100" i="324"/>
  <c r="I100" i="324"/>
  <c r="J100" i="324" s="1"/>
  <c r="A100" i="324"/>
  <c r="K99" i="324"/>
  <c r="I99" i="324"/>
  <c r="J99" i="324" s="1"/>
  <c r="A99" i="324"/>
  <c r="K98" i="324"/>
  <c r="I98" i="324"/>
  <c r="J98" i="324" s="1"/>
  <c r="A98" i="324"/>
  <c r="K97" i="324"/>
  <c r="I97" i="324"/>
  <c r="J97" i="324" s="1"/>
  <c r="A97" i="324"/>
  <c r="K96" i="324"/>
  <c r="I96" i="324"/>
  <c r="J96" i="324" s="1"/>
  <c r="A96" i="324"/>
  <c r="H95" i="324"/>
  <c r="G95" i="324"/>
  <c r="F95" i="324"/>
  <c r="F14" i="268" s="1"/>
  <c r="E95" i="324"/>
  <c r="E14" i="268" s="1"/>
  <c r="D95" i="324"/>
  <c r="D14" i="268" s="1"/>
  <c r="C95" i="324"/>
  <c r="C14" i="268" s="1"/>
  <c r="K94" i="324"/>
  <c r="I94" i="324"/>
  <c r="J94" i="324" s="1"/>
  <c r="A94" i="324"/>
  <c r="K93" i="324"/>
  <c r="I93" i="324"/>
  <c r="J93" i="324" s="1"/>
  <c r="A93" i="324"/>
  <c r="K92" i="324"/>
  <c r="I92" i="324"/>
  <c r="J92" i="324" s="1"/>
  <c r="A92" i="324"/>
  <c r="K91" i="324"/>
  <c r="I91" i="324"/>
  <c r="J91" i="324" s="1"/>
  <c r="A91" i="324"/>
  <c r="K90" i="324"/>
  <c r="I90" i="324"/>
  <c r="J90" i="324" s="1"/>
  <c r="A90" i="324"/>
  <c r="K89" i="324"/>
  <c r="I89" i="324"/>
  <c r="J89" i="324" s="1"/>
  <c r="A89" i="324"/>
  <c r="K88" i="324"/>
  <c r="I88" i="324"/>
  <c r="J88" i="324" s="1"/>
  <c r="A88" i="324"/>
  <c r="K87" i="324"/>
  <c r="I87" i="324"/>
  <c r="J87" i="324" s="1"/>
  <c r="A87" i="324"/>
  <c r="K86" i="324"/>
  <c r="K84" i="324" s="1"/>
  <c r="K13" i="268" s="1"/>
  <c r="I86" i="324"/>
  <c r="J86" i="324" s="1"/>
  <c r="A86" i="324"/>
  <c r="K85" i="324"/>
  <c r="I85" i="324"/>
  <c r="J85" i="324" s="1"/>
  <c r="A85" i="324"/>
  <c r="H84" i="324"/>
  <c r="G84" i="324"/>
  <c r="G13" i="268" s="1"/>
  <c r="F84" i="324"/>
  <c r="F13" i="268" s="1"/>
  <c r="E84" i="324"/>
  <c r="D84" i="324"/>
  <c r="C84" i="324"/>
  <c r="C13" i="268" s="1"/>
  <c r="K83" i="324"/>
  <c r="I83" i="324"/>
  <c r="J83" i="324" s="1"/>
  <c r="A83" i="324"/>
  <c r="K82" i="324"/>
  <c r="I82" i="324"/>
  <c r="J82" i="324" s="1"/>
  <c r="A82" i="324"/>
  <c r="K81" i="324"/>
  <c r="I81" i="324"/>
  <c r="J81" i="324" s="1"/>
  <c r="A81" i="324"/>
  <c r="K80" i="324"/>
  <c r="I80" i="324"/>
  <c r="J80" i="324" s="1"/>
  <c r="A80" i="324"/>
  <c r="K79" i="324"/>
  <c r="I79" i="324"/>
  <c r="J79" i="324" s="1"/>
  <c r="A79" i="324"/>
  <c r="K78" i="324"/>
  <c r="I78" i="324"/>
  <c r="J78" i="324" s="1"/>
  <c r="A78" i="324"/>
  <c r="K77" i="324"/>
  <c r="I77" i="324"/>
  <c r="J77" i="324" s="1"/>
  <c r="A77" i="324"/>
  <c r="K76" i="324"/>
  <c r="I76" i="324"/>
  <c r="J76" i="324" s="1"/>
  <c r="A76" i="324"/>
  <c r="K75" i="324"/>
  <c r="I75" i="324"/>
  <c r="J75" i="324" s="1"/>
  <c r="A75" i="324"/>
  <c r="K74" i="324"/>
  <c r="K73" i="324" s="1"/>
  <c r="K12" i="268" s="1"/>
  <c r="I74" i="324"/>
  <c r="J74" i="324" s="1"/>
  <c r="A74" i="324"/>
  <c r="H73" i="324"/>
  <c r="G73" i="324"/>
  <c r="G12" i="268" s="1"/>
  <c r="F73" i="324"/>
  <c r="E73" i="324"/>
  <c r="E12" i="268" s="1"/>
  <c r="D73" i="324"/>
  <c r="D12" i="268" s="1"/>
  <c r="C73" i="324"/>
  <c r="C12" i="268" s="1"/>
  <c r="K72" i="324"/>
  <c r="I72" i="324"/>
  <c r="J72" i="324" s="1"/>
  <c r="A72" i="324"/>
  <c r="K71" i="324"/>
  <c r="I71" i="324"/>
  <c r="J71" i="324" s="1"/>
  <c r="A71" i="324"/>
  <c r="K70" i="324"/>
  <c r="I70" i="324"/>
  <c r="J70" i="324" s="1"/>
  <c r="A70" i="324"/>
  <c r="K69" i="324"/>
  <c r="I69" i="324"/>
  <c r="J69" i="324" s="1"/>
  <c r="A69" i="324"/>
  <c r="K68" i="324"/>
  <c r="I68" i="324"/>
  <c r="J68" i="324" s="1"/>
  <c r="A68" i="324"/>
  <c r="K67" i="324"/>
  <c r="I67" i="324"/>
  <c r="J67" i="324" s="1"/>
  <c r="A67" i="324"/>
  <c r="K66" i="324"/>
  <c r="I66" i="324"/>
  <c r="J66" i="324" s="1"/>
  <c r="A66" i="324"/>
  <c r="K65" i="324"/>
  <c r="I65" i="324"/>
  <c r="J65" i="324" s="1"/>
  <c r="A65" i="324"/>
  <c r="K64" i="324"/>
  <c r="I64" i="324"/>
  <c r="J64" i="324" s="1"/>
  <c r="A64" i="324"/>
  <c r="K63" i="324"/>
  <c r="K62" i="324" s="1"/>
  <c r="K11" i="268" s="1"/>
  <c r="I63" i="324"/>
  <c r="J63" i="324" s="1"/>
  <c r="A63" i="324"/>
  <c r="H62" i="324"/>
  <c r="G62" i="324"/>
  <c r="G11" i="268" s="1"/>
  <c r="F62" i="324"/>
  <c r="E62" i="324"/>
  <c r="E11" i="268" s="1"/>
  <c r="D62" i="324"/>
  <c r="D11" i="268" s="1"/>
  <c r="C62" i="324"/>
  <c r="C11" i="268" s="1"/>
  <c r="K61" i="324"/>
  <c r="I61" i="324"/>
  <c r="J61" i="324" s="1"/>
  <c r="A61" i="324"/>
  <c r="K60" i="324"/>
  <c r="I60" i="324"/>
  <c r="J60" i="324" s="1"/>
  <c r="A60" i="324"/>
  <c r="K59" i="324"/>
  <c r="I59" i="324"/>
  <c r="J59" i="324" s="1"/>
  <c r="A59" i="324"/>
  <c r="K58" i="324"/>
  <c r="I58" i="324"/>
  <c r="J58" i="324" s="1"/>
  <c r="A58" i="324"/>
  <c r="K57" i="324"/>
  <c r="I57" i="324"/>
  <c r="J57" i="324" s="1"/>
  <c r="A57" i="324"/>
  <c r="K56" i="324"/>
  <c r="I56" i="324"/>
  <c r="J56" i="324" s="1"/>
  <c r="A56" i="324"/>
  <c r="K55" i="324"/>
  <c r="I55" i="324"/>
  <c r="J55" i="324" s="1"/>
  <c r="A55" i="324"/>
  <c r="K54" i="324"/>
  <c r="I54" i="324"/>
  <c r="J54" i="324" s="1"/>
  <c r="A54" i="324"/>
  <c r="K53" i="324"/>
  <c r="I53" i="324"/>
  <c r="J53" i="324" s="1"/>
  <c r="A53" i="324"/>
  <c r="K52" i="324"/>
  <c r="I52" i="324"/>
  <c r="J52" i="324" s="1"/>
  <c r="A52" i="324"/>
  <c r="H51" i="324"/>
  <c r="H10" i="268" s="1"/>
  <c r="G51" i="324"/>
  <c r="F51" i="324"/>
  <c r="E51" i="324"/>
  <c r="E10" i="268" s="1"/>
  <c r="D51" i="324"/>
  <c r="D10" i="268" s="1"/>
  <c r="C51" i="324"/>
  <c r="C10" i="268" s="1"/>
  <c r="K50" i="324"/>
  <c r="I50" i="324"/>
  <c r="J50" i="324" s="1"/>
  <c r="A50" i="324"/>
  <c r="K49" i="324"/>
  <c r="I49" i="324"/>
  <c r="J49" i="324" s="1"/>
  <c r="A49" i="324"/>
  <c r="K48" i="324"/>
  <c r="I48" i="324"/>
  <c r="J48" i="324" s="1"/>
  <c r="A48" i="324"/>
  <c r="K47" i="324"/>
  <c r="I47" i="324"/>
  <c r="J47" i="324" s="1"/>
  <c r="A47" i="324"/>
  <c r="K46" i="324"/>
  <c r="I46" i="324"/>
  <c r="J46" i="324" s="1"/>
  <c r="A46" i="324"/>
  <c r="K45" i="324"/>
  <c r="I45" i="324"/>
  <c r="J45" i="324" s="1"/>
  <c r="A45" i="324"/>
  <c r="K44" i="324"/>
  <c r="I44" i="324"/>
  <c r="J44" i="324" s="1"/>
  <c r="A44" i="324"/>
  <c r="K43" i="324"/>
  <c r="I43" i="324"/>
  <c r="J43" i="324" s="1"/>
  <c r="A43" i="324"/>
  <c r="K42" i="324"/>
  <c r="I42" i="324"/>
  <c r="J42" i="324" s="1"/>
  <c r="A42" i="324"/>
  <c r="K41" i="324"/>
  <c r="I41" i="324"/>
  <c r="J41" i="324" s="1"/>
  <c r="A41" i="324"/>
  <c r="H40" i="324"/>
  <c r="G40" i="324"/>
  <c r="G9" i="268" s="1"/>
  <c r="F40" i="324"/>
  <c r="F9" i="268" s="1"/>
  <c r="E40" i="324"/>
  <c r="D40" i="324"/>
  <c r="D9" i="268" s="1"/>
  <c r="C40" i="324"/>
  <c r="C9" i="268" s="1"/>
  <c r="K39" i="324"/>
  <c r="K29" i="324" s="1"/>
  <c r="K8" i="268" s="1"/>
  <c r="I39" i="324"/>
  <c r="J39" i="324" s="1"/>
  <c r="A39" i="324"/>
  <c r="I38" i="324"/>
  <c r="J38" i="324" s="1"/>
  <c r="A38" i="324"/>
  <c r="I37" i="324"/>
  <c r="J37" i="324" s="1"/>
  <c r="A37" i="324"/>
  <c r="I36" i="324"/>
  <c r="J36" i="324" s="1"/>
  <c r="A36" i="324"/>
  <c r="I35" i="324"/>
  <c r="J35" i="324" s="1"/>
  <c r="A35" i="324"/>
  <c r="I34" i="324"/>
  <c r="J34" i="324" s="1"/>
  <c r="A34" i="324"/>
  <c r="I33" i="324"/>
  <c r="J33" i="324" s="1"/>
  <c r="A33" i="324"/>
  <c r="I32" i="324"/>
  <c r="J32" i="324" s="1"/>
  <c r="A32" i="324"/>
  <c r="I31" i="324"/>
  <c r="J31" i="324" s="1"/>
  <c r="A31" i="324"/>
  <c r="I30" i="324"/>
  <c r="J30" i="324" s="1"/>
  <c r="A30" i="324"/>
  <c r="H29" i="324"/>
  <c r="H8" i="268" s="1"/>
  <c r="G29" i="324"/>
  <c r="G8" i="268" s="1"/>
  <c r="F29" i="324"/>
  <c r="F8" i="268" s="1"/>
  <c r="E29" i="324"/>
  <c r="E8" i="268" s="1"/>
  <c r="D29" i="324"/>
  <c r="D8" i="268" s="1"/>
  <c r="C29" i="324"/>
  <c r="C8" i="268" s="1"/>
  <c r="I28" i="324"/>
  <c r="J28" i="324" s="1"/>
  <c r="A28" i="324"/>
  <c r="I27" i="324"/>
  <c r="J27" i="324" s="1"/>
  <c r="A27" i="324"/>
  <c r="I26" i="324"/>
  <c r="J26" i="324" s="1"/>
  <c r="A26" i="324"/>
  <c r="I25" i="324"/>
  <c r="J25" i="324" s="1"/>
  <c r="A25" i="324"/>
  <c r="I24" i="324"/>
  <c r="J24" i="324" s="1"/>
  <c r="A24" i="324"/>
  <c r="I23" i="324"/>
  <c r="J23" i="324" s="1"/>
  <c r="A23" i="324"/>
  <c r="I22" i="324"/>
  <c r="J22" i="324" s="1"/>
  <c r="A22" i="324"/>
  <c r="I21" i="324"/>
  <c r="J21" i="324" s="1"/>
  <c r="A21" i="324"/>
  <c r="I20" i="324"/>
  <c r="J20" i="324" s="1"/>
  <c r="A20" i="324"/>
  <c r="I19" i="324"/>
  <c r="J19" i="324" s="1"/>
  <c r="A19" i="324"/>
  <c r="K18" i="324"/>
  <c r="K7" i="268" s="1"/>
  <c r="H18" i="324"/>
  <c r="G18" i="324"/>
  <c r="F18" i="324"/>
  <c r="F7" i="268" s="1"/>
  <c r="E18" i="324"/>
  <c r="E7" i="268" s="1"/>
  <c r="D18" i="324"/>
  <c r="C18" i="324"/>
  <c r="C7" i="268" s="1"/>
  <c r="I17" i="324"/>
  <c r="J17" i="324" s="1"/>
  <c r="A17" i="324"/>
  <c r="I16" i="324"/>
  <c r="J16" i="324" s="1"/>
  <c r="A16" i="324"/>
  <c r="I15" i="324"/>
  <c r="J15" i="324" s="1"/>
  <c r="A15" i="324"/>
  <c r="I14" i="324"/>
  <c r="J14" i="324" s="1"/>
  <c r="A14" i="324"/>
  <c r="I13" i="324"/>
  <c r="J13" i="324" s="1"/>
  <c r="A13" i="324"/>
  <c r="I12" i="324"/>
  <c r="J12" i="324" s="1"/>
  <c r="A12" i="324"/>
  <c r="I11" i="324"/>
  <c r="J11" i="324" s="1"/>
  <c r="A11" i="324"/>
  <c r="I10" i="324"/>
  <c r="J10" i="324" s="1"/>
  <c r="A10" i="324"/>
  <c r="I9" i="324"/>
  <c r="J9" i="324" s="1"/>
  <c r="A9" i="324"/>
  <c r="I8" i="324"/>
  <c r="J8" i="324" s="1"/>
  <c r="A8" i="324"/>
  <c r="K7" i="324"/>
  <c r="H7" i="324"/>
  <c r="G7" i="324"/>
  <c r="F7" i="324"/>
  <c r="F6" i="268" s="1"/>
  <c r="E7" i="324"/>
  <c r="D7" i="324"/>
  <c r="D6" i="268" s="1"/>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I73" i="268"/>
  <c r="J73" i="268" s="1"/>
  <c r="H47" i="174"/>
  <c r="I72" i="268"/>
  <c r="J72" i="268" s="1"/>
  <c r="I71" i="268"/>
  <c r="J71" i="268" s="1"/>
  <c r="H70" i="268"/>
  <c r="H74" i="268" s="1"/>
  <c r="G70" i="268"/>
  <c r="F29" i="267" s="1"/>
  <c r="F70" i="268"/>
  <c r="E29" i="267" s="1"/>
  <c r="E70" i="268"/>
  <c r="E74" i="268" s="1"/>
  <c r="D70" i="268"/>
  <c r="D74" i="268" s="1"/>
  <c r="C70" i="268"/>
  <c r="C74" i="268" s="1"/>
  <c r="I69" i="268"/>
  <c r="J69" i="268" s="1"/>
  <c r="I68" i="268"/>
  <c r="J68" i="268" s="1"/>
  <c r="I67" i="268"/>
  <c r="J67" i="268" s="1"/>
  <c r="I66" i="268"/>
  <c r="J66" i="268" s="1"/>
  <c r="I62" i="268"/>
  <c r="J62" i="268" s="1"/>
  <c r="I61" i="268"/>
  <c r="J61" i="268" s="1"/>
  <c r="I60" i="268"/>
  <c r="J60" i="268" s="1"/>
  <c r="I59" i="268"/>
  <c r="J59" i="268" s="1"/>
  <c r="K57" i="268"/>
  <c r="I58" i="268"/>
  <c r="J58" i="268" s="1"/>
  <c r="H57" i="268"/>
  <c r="G57" i="268"/>
  <c r="F57" i="268"/>
  <c r="E57" i="268"/>
  <c r="D57" i="268"/>
  <c r="C57" i="268"/>
  <c r="K53" i="268"/>
  <c r="I56" i="268"/>
  <c r="J56" i="268" s="1"/>
  <c r="I55" i="268"/>
  <c r="J55" i="268" s="1"/>
  <c r="I54" i="268"/>
  <c r="J54" i="268" s="1"/>
  <c r="H53" i="268"/>
  <c r="G53" i="268"/>
  <c r="F53" i="268"/>
  <c r="E53" i="268"/>
  <c r="D53" i="268"/>
  <c r="C53" i="268"/>
  <c r="I51" i="268"/>
  <c r="J51" i="268" s="1"/>
  <c r="I50" i="268"/>
  <c r="J50" i="268" s="1"/>
  <c r="I49" i="268"/>
  <c r="J49" i="268" s="1"/>
  <c r="I48" i="268"/>
  <c r="J48" i="268" s="1"/>
  <c r="K47" i="268"/>
  <c r="G47" i="268"/>
  <c r="F47" i="268"/>
  <c r="D47" i="268"/>
  <c r="C47" i="268"/>
  <c r="I46" i="268"/>
  <c r="J46" i="268" s="1"/>
  <c r="I45" i="268"/>
  <c r="J45" i="268" s="1"/>
  <c r="I44" i="268"/>
  <c r="J44" i="268" s="1"/>
  <c r="H43" i="268"/>
  <c r="G43" i="268"/>
  <c r="F43" i="268"/>
  <c r="E43" i="268"/>
  <c r="D43" i="268"/>
  <c r="C43" i="268"/>
  <c r="H38" i="268"/>
  <c r="K37" i="268"/>
  <c r="H37" i="268"/>
  <c r="D37" i="268"/>
  <c r="K36" i="268"/>
  <c r="G36" i="268"/>
  <c r="C36" i="268"/>
  <c r="K35" i="268"/>
  <c r="H35" i="268"/>
  <c r="F35" i="268"/>
  <c r="D35" i="268"/>
  <c r="K34" i="268"/>
  <c r="G34" i="268"/>
  <c r="E33" i="268"/>
  <c r="D29" i="268"/>
  <c r="C28" i="268"/>
  <c r="H27" i="268"/>
  <c r="D27" i="268"/>
  <c r="G26" i="268"/>
  <c r="F26" i="268"/>
  <c r="E26" i="268"/>
  <c r="E25" i="268"/>
  <c r="G20" i="268"/>
  <c r="C20" i="268"/>
  <c r="G19" i="268"/>
  <c r="C19" i="268"/>
  <c r="K18" i="268"/>
  <c r="F18" i="268"/>
  <c r="D18" i="268"/>
  <c r="G17" i="268"/>
  <c r="H16" i="268"/>
  <c r="D16" i="268"/>
  <c r="G15" i="268"/>
  <c r="E15" i="268"/>
  <c r="C15" i="268"/>
  <c r="H14" i="268"/>
  <c r="E13" i="268"/>
  <c r="D13" i="268"/>
  <c r="H12" i="268"/>
  <c r="F12" i="268"/>
  <c r="F11" i="268"/>
  <c r="F10" i="268"/>
  <c r="E9" i="268"/>
  <c r="H7" i="268"/>
  <c r="D7" i="268"/>
  <c r="H6" i="268"/>
  <c r="K3" i="268"/>
  <c r="J3" i="268"/>
  <c r="I3" i="268"/>
  <c r="H3" i="268"/>
  <c r="G3" i="268"/>
  <c r="F3" i="268"/>
  <c r="E3" i="268"/>
  <c r="D3" i="268"/>
  <c r="C3" i="268"/>
  <c r="B2" i="268"/>
  <c r="A2" i="268"/>
  <c r="A53" i="182"/>
  <c r="A49" i="182"/>
  <c r="I43" i="182"/>
  <c r="J43" i="182" s="1"/>
  <c r="I41" i="182"/>
  <c r="J41" i="182" s="1"/>
  <c r="I40" i="182"/>
  <c r="J40" i="182" s="1"/>
  <c r="I39" i="182"/>
  <c r="J39" i="182" s="1"/>
  <c r="H36" i="182"/>
  <c r="G36" i="182"/>
  <c r="F36" i="182"/>
  <c r="E36" i="182"/>
  <c r="F45" i="174" s="1"/>
  <c r="D36" i="182"/>
  <c r="E45" i="174" s="1"/>
  <c r="C36" i="182"/>
  <c r="D45" i="174" s="1"/>
  <c r="I35" i="182"/>
  <c r="J35" i="182" s="1"/>
  <c r="I34" i="182"/>
  <c r="J34" i="182" s="1"/>
  <c r="I33" i="182"/>
  <c r="J33" i="182" s="1"/>
  <c r="I32" i="182"/>
  <c r="J32" i="182" s="1"/>
  <c r="I31" i="182"/>
  <c r="I30" i="182"/>
  <c r="J30" i="182" s="1"/>
  <c r="H42" i="174"/>
  <c r="I29" i="182"/>
  <c r="J29" i="182" s="1"/>
  <c r="I28" i="182"/>
  <c r="J28" i="182" s="1"/>
  <c r="I27" i="182"/>
  <c r="J27" i="182" s="1"/>
  <c r="H44" i="174"/>
  <c r="I26" i="182"/>
  <c r="J26" i="182" s="1"/>
  <c r="H40" i="174"/>
  <c r="I25" i="182"/>
  <c r="H22" i="182"/>
  <c r="H53" i="182" s="1"/>
  <c r="G22" i="182"/>
  <c r="G55" i="174" s="1"/>
  <c r="F22" i="182"/>
  <c r="F53" i="182" s="1"/>
  <c r="E22" i="182"/>
  <c r="E53" i="182" s="1"/>
  <c r="D22" i="182"/>
  <c r="E55" i="174" s="1"/>
  <c r="C22" i="182"/>
  <c r="D55" i="174" s="1"/>
  <c r="I21" i="182"/>
  <c r="J21" i="182" s="1"/>
  <c r="I20" i="182"/>
  <c r="J20" i="182" s="1"/>
  <c r="H56" i="174"/>
  <c r="I19" i="182"/>
  <c r="J19" i="182" s="1"/>
  <c r="I18" i="182"/>
  <c r="J18" i="182" s="1"/>
  <c r="I17" i="182"/>
  <c r="J17" i="182" s="1"/>
  <c r="I16" i="182"/>
  <c r="J16" i="182" s="1"/>
  <c r="I15" i="182"/>
  <c r="J15" i="182" s="1"/>
  <c r="I14" i="182"/>
  <c r="J14" i="182" s="1"/>
  <c r="I13" i="182"/>
  <c r="J13" i="182" s="1"/>
  <c r="I12" i="182"/>
  <c r="J12" i="182" s="1"/>
  <c r="I11" i="182"/>
  <c r="J11" i="182" s="1"/>
  <c r="I10" i="182"/>
  <c r="J10" i="182" s="1"/>
  <c r="I9" i="182"/>
  <c r="J9" i="182" s="1"/>
  <c r="I8" i="182"/>
  <c r="J8" i="182" s="1"/>
  <c r="I7" i="182"/>
  <c r="J7" i="182" s="1"/>
  <c r="K22" i="182"/>
  <c r="I6" i="182"/>
  <c r="J6" i="182" s="1"/>
  <c r="K3" i="182"/>
  <c r="J3" i="182"/>
  <c r="I3" i="182"/>
  <c r="H3" i="182"/>
  <c r="G3" i="182"/>
  <c r="F3" i="182"/>
  <c r="E3" i="182"/>
  <c r="D3" i="182"/>
  <c r="C3" i="182"/>
  <c r="B2" i="182"/>
  <c r="A2" i="182"/>
  <c r="A342" i="323"/>
  <c r="A341" i="323"/>
  <c r="I340" i="323"/>
  <c r="J340" i="323" s="1"/>
  <c r="W338" i="323"/>
  <c r="V338" i="323"/>
  <c r="U338" i="323"/>
  <c r="T338" i="323"/>
  <c r="S338" i="323"/>
  <c r="R338" i="323"/>
  <c r="Q338" i="323"/>
  <c r="P338" i="323"/>
  <c r="O338" i="323"/>
  <c r="N338" i="323"/>
  <c r="M338" i="323"/>
  <c r="L338" i="323"/>
  <c r="H338" i="323"/>
  <c r="I338" i="323" s="1"/>
  <c r="J338" i="323" s="1"/>
  <c r="A338" i="323"/>
  <c r="H337" i="323"/>
  <c r="I337" i="323" s="1"/>
  <c r="J337" i="323" s="1"/>
  <c r="A337" i="323"/>
  <c r="H336" i="323"/>
  <c r="I336" i="323" s="1"/>
  <c r="J336" i="323" s="1"/>
  <c r="A336" i="323"/>
  <c r="H335" i="323"/>
  <c r="I335" i="323" s="1"/>
  <c r="J335" i="323" s="1"/>
  <c r="A335" i="323"/>
  <c r="H334" i="323"/>
  <c r="I334" i="323" s="1"/>
  <c r="J334" i="323" s="1"/>
  <c r="A334" i="323"/>
  <c r="H333" i="323"/>
  <c r="I333" i="323" s="1"/>
  <c r="J333" i="323" s="1"/>
  <c r="A333" i="323"/>
  <c r="H332" i="323"/>
  <c r="I332" i="323" s="1"/>
  <c r="J332" i="323" s="1"/>
  <c r="A332" i="323"/>
  <c r="H331" i="323"/>
  <c r="I331" i="323" s="1"/>
  <c r="J331" i="323" s="1"/>
  <c r="A331" i="323"/>
  <c r="H330" i="323"/>
  <c r="I330" i="323" s="1"/>
  <c r="J330" i="323" s="1"/>
  <c r="A330" i="323"/>
  <c r="H329" i="323"/>
  <c r="A329" i="323"/>
  <c r="K328" i="323"/>
  <c r="K38" i="272" s="1"/>
  <c r="G328" i="323"/>
  <c r="G38" i="272" s="1"/>
  <c r="F328" i="323"/>
  <c r="E328" i="323"/>
  <c r="E38" i="272" s="1"/>
  <c r="D328" i="323"/>
  <c r="C328" i="323"/>
  <c r="C38" i="272" s="1"/>
  <c r="H327" i="323"/>
  <c r="I327" i="323" s="1"/>
  <c r="J327" i="323" s="1"/>
  <c r="A327" i="323"/>
  <c r="H326" i="323"/>
  <c r="I326" i="323" s="1"/>
  <c r="J326" i="323" s="1"/>
  <c r="A326" i="323"/>
  <c r="H325" i="323"/>
  <c r="I325" i="323" s="1"/>
  <c r="J325" i="323" s="1"/>
  <c r="A325" i="323"/>
  <c r="H324" i="323"/>
  <c r="I324" i="323" s="1"/>
  <c r="J324" i="323" s="1"/>
  <c r="A324" i="323"/>
  <c r="H323" i="323"/>
  <c r="I323" i="323" s="1"/>
  <c r="J323" i="323" s="1"/>
  <c r="A323" i="323"/>
  <c r="H322" i="323"/>
  <c r="I322" i="323" s="1"/>
  <c r="J322" i="323" s="1"/>
  <c r="A322" i="323"/>
  <c r="H321" i="323"/>
  <c r="I321" i="323" s="1"/>
  <c r="J321" i="323" s="1"/>
  <c r="A321" i="323"/>
  <c r="H320" i="323"/>
  <c r="I320" i="323" s="1"/>
  <c r="J320" i="323" s="1"/>
  <c r="A320" i="323"/>
  <c r="H319" i="323"/>
  <c r="I319" i="323" s="1"/>
  <c r="J319" i="323" s="1"/>
  <c r="A319" i="323"/>
  <c r="H318" i="323"/>
  <c r="A318" i="323"/>
  <c r="K317" i="323"/>
  <c r="G317" i="323"/>
  <c r="G37" i="272" s="1"/>
  <c r="F317" i="323"/>
  <c r="F37" i="272" s="1"/>
  <c r="E317" i="323"/>
  <c r="E37" i="272" s="1"/>
  <c r="D317" i="323"/>
  <c r="C317" i="323"/>
  <c r="C37" i="272" s="1"/>
  <c r="H316" i="323"/>
  <c r="I316" i="323" s="1"/>
  <c r="J316" i="323" s="1"/>
  <c r="A316" i="323"/>
  <c r="H315" i="323"/>
  <c r="I315" i="323" s="1"/>
  <c r="J315" i="323" s="1"/>
  <c r="A315" i="323"/>
  <c r="H314" i="323"/>
  <c r="I314" i="323" s="1"/>
  <c r="J314" i="323" s="1"/>
  <c r="A314" i="323"/>
  <c r="H313" i="323"/>
  <c r="I313" i="323" s="1"/>
  <c r="J313" i="323" s="1"/>
  <c r="A313" i="323"/>
  <c r="H312" i="323"/>
  <c r="I312" i="323" s="1"/>
  <c r="J312" i="323" s="1"/>
  <c r="A312" i="323"/>
  <c r="H311" i="323"/>
  <c r="I311" i="323" s="1"/>
  <c r="J311" i="323" s="1"/>
  <c r="A311" i="323"/>
  <c r="H310" i="323"/>
  <c r="I310" i="323" s="1"/>
  <c r="J310" i="323" s="1"/>
  <c r="A310" i="323"/>
  <c r="H309" i="323"/>
  <c r="I309" i="323" s="1"/>
  <c r="J309" i="323" s="1"/>
  <c r="A309" i="323"/>
  <c r="H308" i="323"/>
  <c r="I308" i="323" s="1"/>
  <c r="J308" i="323" s="1"/>
  <c r="A308" i="323"/>
  <c r="H307" i="323"/>
  <c r="A307" i="323"/>
  <c r="K306" i="323"/>
  <c r="K36" i="272" s="1"/>
  <c r="G306" i="323"/>
  <c r="G36" i="272" s="1"/>
  <c r="F306" i="323"/>
  <c r="E306" i="323"/>
  <c r="D306" i="323"/>
  <c r="C306" i="323"/>
  <c r="C36" i="272" s="1"/>
  <c r="H305" i="323"/>
  <c r="I305" i="323" s="1"/>
  <c r="J305" i="323" s="1"/>
  <c r="A305" i="323"/>
  <c r="H304" i="323"/>
  <c r="I304" i="323" s="1"/>
  <c r="J304" i="323" s="1"/>
  <c r="A304" i="323"/>
  <c r="H303" i="323"/>
  <c r="I303" i="323" s="1"/>
  <c r="J303" i="323" s="1"/>
  <c r="A303" i="323"/>
  <c r="H302" i="323"/>
  <c r="I302" i="323" s="1"/>
  <c r="J302" i="323" s="1"/>
  <c r="A302" i="323"/>
  <c r="H301" i="323"/>
  <c r="I301" i="323" s="1"/>
  <c r="J301" i="323" s="1"/>
  <c r="A301" i="323"/>
  <c r="H300" i="323"/>
  <c r="I300" i="323" s="1"/>
  <c r="J300" i="323" s="1"/>
  <c r="A300" i="323"/>
  <c r="H299" i="323"/>
  <c r="I299" i="323" s="1"/>
  <c r="J299" i="323" s="1"/>
  <c r="A299" i="323"/>
  <c r="H298" i="323"/>
  <c r="I298" i="323" s="1"/>
  <c r="J298" i="323" s="1"/>
  <c r="A298" i="323"/>
  <c r="H297" i="323"/>
  <c r="I297" i="323" s="1"/>
  <c r="J297" i="323" s="1"/>
  <c r="A297" i="323"/>
  <c r="H296" i="323"/>
  <c r="I296" i="323" s="1"/>
  <c r="J296" i="323" s="1"/>
  <c r="A296" i="323"/>
  <c r="K295" i="323"/>
  <c r="G295" i="323"/>
  <c r="G35" i="272" s="1"/>
  <c r="F295" i="323"/>
  <c r="F35" i="272" s="1"/>
  <c r="E295" i="323"/>
  <c r="E35" i="272" s="1"/>
  <c r="D295" i="323"/>
  <c r="C295" i="323"/>
  <c r="C35" i="272" s="1"/>
  <c r="I294" i="323"/>
  <c r="J294" i="323" s="1"/>
  <c r="A294" i="323"/>
  <c r="I293" i="323"/>
  <c r="J293" i="323" s="1"/>
  <c r="A293" i="323"/>
  <c r="I292" i="323"/>
  <c r="J292" i="323" s="1"/>
  <c r="A292" i="323"/>
  <c r="I291" i="323"/>
  <c r="J291" i="323" s="1"/>
  <c r="A291" i="323"/>
  <c r="I290" i="323"/>
  <c r="J290" i="323" s="1"/>
  <c r="A290" i="323"/>
  <c r="I289" i="323"/>
  <c r="J289" i="323" s="1"/>
  <c r="A289" i="323"/>
  <c r="I288" i="323"/>
  <c r="J288" i="323" s="1"/>
  <c r="A288" i="323"/>
  <c r="I287" i="323"/>
  <c r="J287" i="323" s="1"/>
  <c r="A287" i="323"/>
  <c r="I286" i="323"/>
  <c r="J286" i="323" s="1"/>
  <c r="A286" i="323"/>
  <c r="A285" i="323"/>
  <c r="K284" i="323"/>
  <c r="K34" i="272" s="1"/>
  <c r="G284" i="323"/>
  <c r="F284" i="323"/>
  <c r="F34" i="272" s="1"/>
  <c r="E284" i="323"/>
  <c r="E34" i="272" s="1"/>
  <c r="D284" i="323"/>
  <c r="D34" i="272" s="1"/>
  <c r="C284" i="323"/>
  <c r="C34" i="272" s="1"/>
  <c r="K283" i="323"/>
  <c r="I283" i="323"/>
  <c r="J283" i="323" s="1"/>
  <c r="A283" i="323"/>
  <c r="K282" i="323"/>
  <c r="I282" i="323"/>
  <c r="J282" i="323" s="1"/>
  <c r="A282" i="323"/>
  <c r="K281" i="323"/>
  <c r="I281" i="323"/>
  <c r="J281" i="323" s="1"/>
  <c r="A281" i="323"/>
  <c r="K280" i="323"/>
  <c r="I280" i="323"/>
  <c r="J280" i="323" s="1"/>
  <c r="A280" i="323"/>
  <c r="K279" i="323"/>
  <c r="I279" i="323"/>
  <c r="J279" i="323" s="1"/>
  <c r="A279" i="323"/>
  <c r="K278" i="323"/>
  <c r="I278" i="323"/>
  <c r="J278" i="323" s="1"/>
  <c r="A278" i="323"/>
  <c r="K277" i="323"/>
  <c r="I277" i="323"/>
  <c r="J277" i="323" s="1"/>
  <c r="A277" i="323"/>
  <c r="K276" i="323"/>
  <c r="I276" i="323"/>
  <c r="J276" i="323" s="1"/>
  <c r="A276" i="323"/>
  <c r="K275" i="323"/>
  <c r="I275" i="323"/>
  <c r="J275" i="323" s="1"/>
  <c r="A275" i="323"/>
  <c r="K274" i="323"/>
  <c r="A274" i="323"/>
  <c r="G273" i="323"/>
  <c r="F273" i="323"/>
  <c r="F33" i="272" s="1"/>
  <c r="E273" i="323"/>
  <c r="E33" i="272" s="1"/>
  <c r="D273" i="323"/>
  <c r="D33" i="272" s="1"/>
  <c r="C273" i="323"/>
  <c r="I272" i="323"/>
  <c r="J272" i="323" s="1"/>
  <c r="A272" i="323"/>
  <c r="I271" i="323"/>
  <c r="J271" i="323" s="1"/>
  <c r="A271" i="323"/>
  <c r="I270" i="323"/>
  <c r="J270" i="323" s="1"/>
  <c r="A270" i="323"/>
  <c r="I269" i="323"/>
  <c r="J269" i="323" s="1"/>
  <c r="A269" i="323"/>
  <c r="I268" i="323"/>
  <c r="J268" i="323" s="1"/>
  <c r="A268" i="323"/>
  <c r="I267" i="323"/>
  <c r="J267" i="323" s="1"/>
  <c r="A267" i="323"/>
  <c r="I266" i="323"/>
  <c r="J266" i="323" s="1"/>
  <c r="A266" i="323"/>
  <c r="I265" i="323"/>
  <c r="J265" i="323" s="1"/>
  <c r="A265" i="323"/>
  <c r="I264" i="323"/>
  <c r="J264" i="323" s="1"/>
  <c r="A264" i="323"/>
  <c r="A263" i="323"/>
  <c r="G262" i="323"/>
  <c r="G32" i="272" s="1"/>
  <c r="F262" i="323"/>
  <c r="F32" i="272" s="1"/>
  <c r="E262" i="323"/>
  <c r="E32" i="272" s="1"/>
  <c r="D262" i="323"/>
  <c r="D32" i="272" s="1"/>
  <c r="C262" i="323"/>
  <c r="I261" i="323"/>
  <c r="J261" i="323" s="1"/>
  <c r="A261" i="323"/>
  <c r="I260" i="323"/>
  <c r="J260" i="323" s="1"/>
  <c r="A260" i="323"/>
  <c r="I259" i="323"/>
  <c r="J259" i="323" s="1"/>
  <c r="A259" i="323"/>
  <c r="I258" i="323"/>
  <c r="J258" i="323" s="1"/>
  <c r="A258" i="323"/>
  <c r="I257" i="323"/>
  <c r="J257" i="323" s="1"/>
  <c r="A257" i="323"/>
  <c r="I256" i="323"/>
  <c r="J256" i="323" s="1"/>
  <c r="A256" i="323"/>
  <c r="I255" i="323"/>
  <c r="J255" i="323" s="1"/>
  <c r="A255" i="323"/>
  <c r="I254" i="323"/>
  <c r="J254" i="323" s="1"/>
  <c r="A254" i="323"/>
  <c r="I253" i="323"/>
  <c r="J253" i="323" s="1"/>
  <c r="A253" i="323"/>
  <c r="A252" i="323"/>
  <c r="G251" i="323"/>
  <c r="G31" i="272" s="1"/>
  <c r="F251" i="323"/>
  <c r="F31" i="272" s="1"/>
  <c r="E251" i="323"/>
  <c r="E31" i="272" s="1"/>
  <c r="D251" i="323"/>
  <c r="C251" i="323"/>
  <c r="C31" i="272" s="1"/>
  <c r="I250" i="323"/>
  <c r="J250" i="323" s="1"/>
  <c r="A250" i="323"/>
  <c r="I249" i="323"/>
  <c r="J249" i="323" s="1"/>
  <c r="A249" i="323"/>
  <c r="I248" i="323"/>
  <c r="J248" i="323" s="1"/>
  <c r="A248" i="323"/>
  <c r="I247" i="323"/>
  <c r="J247" i="323" s="1"/>
  <c r="A247" i="323"/>
  <c r="I246" i="323"/>
  <c r="J246" i="323" s="1"/>
  <c r="A246" i="323"/>
  <c r="I245" i="323"/>
  <c r="J245" i="323" s="1"/>
  <c r="A245" i="323"/>
  <c r="I244" i="323"/>
  <c r="J244" i="323" s="1"/>
  <c r="A244" i="323"/>
  <c r="I243" i="323"/>
  <c r="J243" i="323" s="1"/>
  <c r="A243" i="323"/>
  <c r="I242" i="323"/>
  <c r="J242" i="323" s="1"/>
  <c r="A242" i="323"/>
  <c r="A241" i="323"/>
  <c r="G240" i="323"/>
  <c r="G30" i="272" s="1"/>
  <c r="F240" i="323"/>
  <c r="F30" i="272" s="1"/>
  <c r="E30" i="272"/>
  <c r="D240" i="323"/>
  <c r="D30" i="272" s="1"/>
  <c r="C240" i="323"/>
  <c r="C30" i="272" s="1"/>
  <c r="I239" i="323"/>
  <c r="J239" i="323" s="1"/>
  <c r="A239" i="323"/>
  <c r="I238" i="323"/>
  <c r="J238" i="323" s="1"/>
  <c r="A238" i="323"/>
  <c r="I237" i="323"/>
  <c r="J237" i="323" s="1"/>
  <c r="A237" i="323"/>
  <c r="I236" i="323"/>
  <c r="J236" i="323" s="1"/>
  <c r="A236" i="323"/>
  <c r="I235" i="323"/>
  <c r="J235" i="323" s="1"/>
  <c r="A235" i="323"/>
  <c r="I234" i="323"/>
  <c r="J234" i="323" s="1"/>
  <c r="A234" i="323"/>
  <c r="I233" i="323"/>
  <c r="J233" i="323" s="1"/>
  <c r="A233" i="323"/>
  <c r="I232" i="323"/>
  <c r="J232" i="323" s="1"/>
  <c r="A232" i="323"/>
  <c r="I231" i="323"/>
  <c r="J231" i="323" s="1"/>
  <c r="A231" i="323"/>
  <c r="A230" i="323"/>
  <c r="G229" i="323"/>
  <c r="F229" i="323"/>
  <c r="F29" i="272" s="1"/>
  <c r="E229" i="323"/>
  <c r="E29" i="272" s="1"/>
  <c r="D229" i="323"/>
  <c r="D29" i="272" s="1"/>
  <c r="C229" i="323"/>
  <c r="C29" i="272" s="1"/>
  <c r="I228" i="323"/>
  <c r="J228" i="323" s="1"/>
  <c r="A228" i="323"/>
  <c r="I227" i="323"/>
  <c r="J227" i="323" s="1"/>
  <c r="A227" i="323"/>
  <c r="I226" i="323"/>
  <c r="J226" i="323" s="1"/>
  <c r="A226" i="323"/>
  <c r="I225" i="323"/>
  <c r="J225" i="323" s="1"/>
  <c r="A225" i="323"/>
  <c r="I224" i="323"/>
  <c r="J224" i="323" s="1"/>
  <c r="A224" i="323"/>
  <c r="I223" i="323"/>
  <c r="J223" i="323" s="1"/>
  <c r="A223" i="323"/>
  <c r="I222" i="323"/>
  <c r="J222" i="323" s="1"/>
  <c r="A222" i="323"/>
  <c r="I221" i="323"/>
  <c r="J221" i="323" s="1"/>
  <c r="A221" i="323"/>
  <c r="I220" i="323"/>
  <c r="J220" i="323" s="1"/>
  <c r="A220" i="323"/>
  <c r="K219" i="323"/>
  <c r="A219" i="323"/>
  <c r="G218" i="323"/>
  <c r="G28" i="272" s="1"/>
  <c r="F218" i="323"/>
  <c r="F28" i="272" s="1"/>
  <c r="E218" i="323"/>
  <c r="E28" i="272" s="1"/>
  <c r="D218" i="323"/>
  <c r="D28" i="272" s="1"/>
  <c r="C218" i="323"/>
  <c r="C28" i="272" s="1"/>
  <c r="K217" i="323"/>
  <c r="I217" i="323"/>
  <c r="J217" i="323" s="1"/>
  <c r="A217" i="323"/>
  <c r="K216" i="323"/>
  <c r="I216" i="323"/>
  <c r="J216" i="323" s="1"/>
  <c r="A216" i="323"/>
  <c r="K215" i="323"/>
  <c r="I215" i="323"/>
  <c r="J215" i="323" s="1"/>
  <c r="A215" i="323"/>
  <c r="K214" i="323"/>
  <c r="I214" i="323"/>
  <c r="J214" i="323" s="1"/>
  <c r="A214" i="323"/>
  <c r="K213" i="323"/>
  <c r="I213" i="323"/>
  <c r="J213" i="323" s="1"/>
  <c r="A213" i="323"/>
  <c r="I212" i="323"/>
  <c r="J212" i="323" s="1"/>
  <c r="A212" i="323"/>
  <c r="I211" i="323"/>
  <c r="J211" i="323" s="1"/>
  <c r="A211" i="323"/>
  <c r="I210" i="323"/>
  <c r="J210" i="323" s="1"/>
  <c r="A210" i="323"/>
  <c r="I209" i="323"/>
  <c r="J209" i="323" s="1"/>
  <c r="A209" i="323"/>
  <c r="A208" i="323"/>
  <c r="G207" i="323"/>
  <c r="F207" i="323"/>
  <c r="F27" i="272" s="1"/>
  <c r="E207" i="323"/>
  <c r="E27" i="272" s="1"/>
  <c r="D207" i="323"/>
  <c r="D27" i="272" s="1"/>
  <c r="C207" i="323"/>
  <c r="C27" i="272" s="1"/>
  <c r="K206" i="323"/>
  <c r="I206" i="323"/>
  <c r="J206" i="323" s="1"/>
  <c r="A206" i="323"/>
  <c r="K205" i="323"/>
  <c r="I205" i="323"/>
  <c r="J205" i="323" s="1"/>
  <c r="A205" i="323"/>
  <c r="K204" i="323"/>
  <c r="I204" i="323"/>
  <c r="J204" i="323" s="1"/>
  <c r="A204" i="323"/>
  <c r="K203" i="323"/>
  <c r="I203" i="323"/>
  <c r="J203" i="323" s="1"/>
  <c r="A203" i="323"/>
  <c r="K202" i="323"/>
  <c r="I202" i="323"/>
  <c r="J202" i="323" s="1"/>
  <c r="A202" i="323"/>
  <c r="K201" i="323"/>
  <c r="I201" i="323"/>
  <c r="J201" i="323" s="1"/>
  <c r="A201" i="323"/>
  <c r="K200" i="323"/>
  <c r="I200" i="323"/>
  <c r="J200" i="323" s="1"/>
  <c r="A200" i="323"/>
  <c r="K199" i="323"/>
  <c r="I199" i="323"/>
  <c r="J199" i="323" s="1"/>
  <c r="A199" i="323"/>
  <c r="K198" i="323"/>
  <c r="I198" i="323"/>
  <c r="J198" i="323" s="1"/>
  <c r="A198" i="323"/>
  <c r="K197" i="323"/>
  <c r="A197" i="323"/>
  <c r="G196" i="323"/>
  <c r="G26" i="272" s="1"/>
  <c r="F196" i="323"/>
  <c r="F26" i="272" s="1"/>
  <c r="E196" i="323"/>
  <c r="E26" i="272" s="1"/>
  <c r="D196" i="323"/>
  <c r="D26" i="272" s="1"/>
  <c r="C196" i="323"/>
  <c r="K195" i="323"/>
  <c r="I195" i="323"/>
  <c r="J195" i="323" s="1"/>
  <c r="A195" i="323"/>
  <c r="K194" i="323"/>
  <c r="I194" i="323"/>
  <c r="J194" i="323" s="1"/>
  <c r="A194" i="323"/>
  <c r="K193" i="323"/>
  <c r="I193" i="323"/>
  <c r="J193" i="323" s="1"/>
  <c r="A193" i="323"/>
  <c r="K192" i="323"/>
  <c r="I192" i="323"/>
  <c r="J192" i="323" s="1"/>
  <c r="A192" i="323"/>
  <c r="K191" i="323"/>
  <c r="I191" i="323"/>
  <c r="J191" i="323" s="1"/>
  <c r="A191" i="323"/>
  <c r="K190" i="323"/>
  <c r="I190" i="323"/>
  <c r="J190" i="323" s="1"/>
  <c r="A190" i="323"/>
  <c r="I189" i="323"/>
  <c r="J189" i="323" s="1"/>
  <c r="A189" i="323"/>
  <c r="I188" i="323"/>
  <c r="J188" i="323" s="1"/>
  <c r="A188" i="323"/>
  <c r="I187" i="323"/>
  <c r="J187" i="323" s="1"/>
  <c r="A187" i="323"/>
  <c r="A186" i="323"/>
  <c r="G185" i="323"/>
  <c r="F185" i="323"/>
  <c r="F25" i="272" s="1"/>
  <c r="E185" i="323"/>
  <c r="E25" i="272" s="1"/>
  <c r="D185" i="323"/>
  <c r="D25" i="272" s="1"/>
  <c r="C185" i="323"/>
  <c r="C25" i="272" s="1"/>
  <c r="K184" i="323"/>
  <c r="I184" i="323"/>
  <c r="J184" i="323" s="1"/>
  <c r="A184" i="323"/>
  <c r="I183" i="323"/>
  <c r="J183" i="323" s="1"/>
  <c r="A183" i="323"/>
  <c r="I182" i="323"/>
  <c r="J182" i="323" s="1"/>
  <c r="A182" i="323"/>
  <c r="I181" i="323"/>
  <c r="J181" i="323" s="1"/>
  <c r="A181" i="323"/>
  <c r="I180" i="323"/>
  <c r="J180" i="323" s="1"/>
  <c r="A180" i="323"/>
  <c r="I179" i="323"/>
  <c r="J179" i="323" s="1"/>
  <c r="A179" i="323"/>
  <c r="I178" i="323"/>
  <c r="J178" i="323" s="1"/>
  <c r="A178" i="323"/>
  <c r="I177" i="323"/>
  <c r="J177" i="323" s="1"/>
  <c r="A177" i="323"/>
  <c r="I176" i="323"/>
  <c r="J176" i="323" s="1"/>
  <c r="A176" i="323"/>
  <c r="I175" i="323"/>
  <c r="J175" i="323" s="1"/>
  <c r="A175" i="323"/>
  <c r="G174" i="323"/>
  <c r="G24" i="272" s="1"/>
  <c r="F174" i="323"/>
  <c r="F24" i="272" s="1"/>
  <c r="E174" i="323"/>
  <c r="E24" i="272" s="1"/>
  <c r="D174" i="323"/>
  <c r="C174" i="323"/>
  <c r="C24" i="272" s="1"/>
  <c r="H173" i="323"/>
  <c r="I173" i="323" s="1"/>
  <c r="J173" i="323" s="1"/>
  <c r="H172" i="323"/>
  <c r="I172" i="323" s="1"/>
  <c r="J172" i="323" s="1"/>
  <c r="W170" i="323"/>
  <c r="W340" i="323" s="1"/>
  <c r="V170" i="323"/>
  <c r="U170" i="323"/>
  <c r="U340" i="323" s="1"/>
  <c r="T170" i="323"/>
  <c r="T340" i="323" s="1"/>
  <c r="S170" i="323"/>
  <c r="S340" i="323" s="1"/>
  <c r="R170" i="323"/>
  <c r="Q170" i="323"/>
  <c r="Q340" i="323" s="1"/>
  <c r="P170" i="323"/>
  <c r="P340" i="323" s="1"/>
  <c r="O170" i="323"/>
  <c r="O340" i="323" s="1"/>
  <c r="N170" i="323"/>
  <c r="M170" i="323"/>
  <c r="M340" i="323" s="1"/>
  <c r="L170" i="323"/>
  <c r="L340" i="323" s="1"/>
  <c r="H170" i="323"/>
  <c r="I170" i="323" s="1"/>
  <c r="J170" i="323" s="1"/>
  <c r="A170" i="323"/>
  <c r="H169" i="323"/>
  <c r="I169" i="323" s="1"/>
  <c r="J169" i="323" s="1"/>
  <c r="A169" i="323"/>
  <c r="J168" i="323"/>
  <c r="H168" i="323"/>
  <c r="I168" i="323" s="1"/>
  <c r="A168" i="323"/>
  <c r="H167" i="323"/>
  <c r="I167" i="323" s="1"/>
  <c r="J167" i="323" s="1"/>
  <c r="A167" i="323"/>
  <c r="H166" i="323"/>
  <c r="I166" i="323" s="1"/>
  <c r="J166" i="323" s="1"/>
  <c r="A166" i="323"/>
  <c r="H165" i="323"/>
  <c r="I165" i="323" s="1"/>
  <c r="J165" i="323" s="1"/>
  <c r="A165" i="323"/>
  <c r="H164" i="323"/>
  <c r="I164" i="323" s="1"/>
  <c r="J164" i="323" s="1"/>
  <c r="A164" i="323"/>
  <c r="H163" i="323"/>
  <c r="I163" i="323" s="1"/>
  <c r="J163" i="323" s="1"/>
  <c r="A163" i="323"/>
  <c r="H162" i="323"/>
  <c r="I162" i="323" s="1"/>
  <c r="J162" i="323" s="1"/>
  <c r="A162" i="323"/>
  <c r="H161" i="323"/>
  <c r="A161" i="323"/>
  <c r="K160" i="323"/>
  <c r="K20" i="272" s="1"/>
  <c r="G160" i="323"/>
  <c r="F160" i="323"/>
  <c r="F20" i="272" s="1"/>
  <c r="E160" i="323"/>
  <c r="E20" i="272" s="1"/>
  <c r="D160" i="323"/>
  <c r="D20" i="272" s="1"/>
  <c r="C160" i="323"/>
  <c r="C20" i="272" s="1"/>
  <c r="H159" i="323"/>
  <c r="I159" i="323" s="1"/>
  <c r="J159" i="323" s="1"/>
  <c r="A159" i="323"/>
  <c r="H158" i="323"/>
  <c r="I158" i="323" s="1"/>
  <c r="J158" i="323" s="1"/>
  <c r="A158" i="323"/>
  <c r="H157" i="323"/>
  <c r="I157" i="323" s="1"/>
  <c r="J157" i="323" s="1"/>
  <c r="A157" i="323"/>
  <c r="H156" i="323"/>
  <c r="I156" i="323" s="1"/>
  <c r="J156" i="323" s="1"/>
  <c r="A156" i="323"/>
  <c r="H155" i="323"/>
  <c r="I155" i="323" s="1"/>
  <c r="J155" i="323" s="1"/>
  <c r="A155" i="323"/>
  <c r="H154" i="323"/>
  <c r="I154" i="323" s="1"/>
  <c r="J154" i="323" s="1"/>
  <c r="A154" i="323"/>
  <c r="H153" i="323"/>
  <c r="I153" i="323" s="1"/>
  <c r="J153" i="323" s="1"/>
  <c r="A153" i="323"/>
  <c r="H152" i="323"/>
  <c r="I152" i="323" s="1"/>
  <c r="J152" i="323" s="1"/>
  <c r="A152" i="323"/>
  <c r="H151" i="323"/>
  <c r="I151" i="323" s="1"/>
  <c r="J151" i="323" s="1"/>
  <c r="A151" i="323"/>
  <c r="H150" i="323"/>
  <c r="A150" i="323"/>
  <c r="K149" i="323"/>
  <c r="K19" i="272" s="1"/>
  <c r="G149" i="323"/>
  <c r="G19" i="272" s="1"/>
  <c r="F149" i="323"/>
  <c r="E149" i="323"/>
  <c r="E19" i="272" s="1"/>
  <c r="D149" i="323"/>
  <c r="D19" i="272" s="1"/>
  <c r="C149" i="323"/>
  <c r="H148" i="323"/>
  <c r="I148" i="323" s="1"/>
  <c r="J148" i="323" s="1"/>
  <c r="A148" i="323"/>
  <c r="J147" i="323"/>
  <c r="H147" i="323"/>
  <c r="I147" i="323" s="1"/>
  <c r="A147" i="323"/>
  <c r="H146" i="323"/>
  <c r="I146" i="323" s="1"/>
  <c r="J146" i="323" s="1"/>
  <c r="A146" i="323"/>
  <c r="H145" i="323"/>
  <c r="I145" i="323" s="1"/>
  <c r="J145" i="323" s="1"/>
  <c r="A145" i="323"/>
  <c r="H144" i="323"/>
  <c r="I144" i="323" s="1"/>
  <c r="J144" i="323" s="1"/>
  <c r="A144" i="323"/>
  <c r="H143" i="323"/>
  <c r="I143" i="323" s="1"/>
  <c r="J143" i="323" s="1"/>
  <c r="A143" i="323"/>
  <c r="H142" i="323"/>
  <c r="I142" i="323" s="1"/>
  <c r="J142" i="323" s="1"/>
  <c r="A142" i="323"/>
  <c r="H141" i="323"/>
  <c r="I141" i="323" s="1"/>
  <c r="J141" i="323" s="1"/>
  <c r="A141" i="323"/>
  <c r="H140" i="323"/>
  <c r="I140" i="323" s="1"/>
  <c r="J140" i="323" s="1"/>
  <c r="A140" i="323"/>
  <c r="H139" i="323"/>
  <c r="I139" i="323" s="1"/>
  <c r="J139" i="323" s="1"/>
  <c r="A139" i="323"/>
  <c r="K138" i="323"/>
  <c r="K18" i="272" s="1"/>
  <c r="G138" i="323"/>
  <c r="F138" i="323"/>
  <c r="F18" i="272" s="1"/>
  <c r="E138" i="323"/>
  <c r="E18" i="272" s="1"/>
  <c r="D138" i="323"/>
  <c r="D18" i="272" s="1"/>
  <c r="C138" i="323"/>
  <c r="C18" i="272" s="1"/>
  <c r="H137" i="323"/>
  <c r="I137" i="323" s="1"/>
  <c r="J137" i="323" s="1"/>
  <c r="A137" i="323"/>
  <c r="H136" i="323"/>
  <c r="I136" i="323" s="1"/>
  <c r="J136" i="323" s="1"/>
  <c r="A136" i="323"/>
  <c r="H135" i="323"/>
  <c r="I135" i="323" s="1"/>
  <c r="J135" i="323" s="1"/>
  <c r="A135" i="323"/>
  <c r="H134" i="323"/>
  <c r="I134" i="323" s="1"/>
  <c r="J134" i="323" s="1"/>
  <c r="A134" i="323"/>
  <c r="H133" i="323"/>
  <c r="I133" i="323" s="1"/>
  <c r="J133" i="323" s="1"/>
  <c r="A133" i="323"/>
  <c r="H132" i="323"/>
  <c r="I132" i="323" s="1"/>
  <c r="J132" i="323" s="1"/>
  <c r="A132" i="323"/>
  <c r="H131" i="323"/>
  <c r="I131" i="323" s="1"/>
  <c r="J131" i="323" s="1"/>
  <c r="A131" i="323"/>
  <c r="H130" i="323"/>
  <c r="I130" i="323" s="1"/>
  <c r="J130" i="323" s="1"/>
  <c r="A130" i="323"/>
  <c r="H129" i="323"/>
  <c r="I129" i="323" s="1"/>
  <c r="J129" i="323" s="1"/>
  <c r="A129" i="323"/>
  <c r="H128" i="323"/>
  <c r="A128" i="323"/>
  <c r="K127" i="323"/>
  <c r="K17" i="272" s="1"/>
  <c r="G127" i="323"/>
  <c r="F127" i="323"/>
  <c r="E127" i="323"/>
  <c r="E17" i="272" s="1"/>
  <c r="D127" i="323"/>
  <c r="D17" i="272" s="1"/>
  <c r="C127" i="323"/>
  <c r="C17" i="272" s="1"/>
  <c r="I126" i="323"/>
  <c r="J126" i="323" s="1"/>
  <c r="A126" i="323"/>
  <c r="I125" i="323"/>
  <c r="J125" i="323" s="1"/>
  <c r="A125" i="323"/>
  <c r="I124" i="323"/>
  <c r="J124" i="323" s="1"/>
  <c r="A124" i="323"/>
  <c r="I123" i="323"/>
  <c r="J123" i="323" s="1"/>
  <c r="A123" i="323"/>
  <c r="I122" i="323"/>
  <c r="J122" i="323" s="1"/>
  <c r="A122" i="323"/>
  <c r="I121" i="323"/>
  <c r="J121" i="323" s="1"/>
  <c r="A121" i="323"/>
  <c r="I120" i="323"/>
  <c r="J120" i="323" s="1"/>
  <c r="A120" i="323"/>
  <c r="I119" i="323"/>
  <c r="J119" i="323" s="1"/>
  <c r="A119" i="323"/>
  <c r="I118" i="323"/>
  <c r="J118" i="323" s="1"/>
  <c r="A118" i="323"/>
  <c r="I117" i="323"/>
  <c r="J117" i="323" s="1"/>
  <c r="A117" i="323"/>
  <c r="K116" i="323"/>
  <c r="K16" i="272" s="1"/>
  <c r="G116" i="323"/>
  <c r="F116" i="323"/>
  <c r="F16" i="272" s="1"/>
  <c r="E116" i="323"/>
  <c r="E16" i="272" s="1"/>
  <c r="D116" i="323"/>
  <c r="C116" i="323"/>
  <c r="C16" i="272" s="1"/>
  <c r="I115" i="323"/>
  <c r="J115" i="323" s="1"/>
  <c r="A115" i="323"/>
  <c r="I114" i="323"/>
  <c r="J114" i="323" s="1"/>
  <c r="A114" i="323"/>
  <c r="I113" i="323"/>
  <c r="J113" i="323" s="1"/>
  <c r="A113" i="323"/>
  <c r="I112" i="323"/>
  <c r="J112" i="323" s="1"/>
  <c r="A112" i="323"/>
  <c r="I111" i="323"/>
  <c r="J111" i="323" s="1"/>
  <c r="A111" i="323"/>
  <c r="I110" i="323"/>
  <c r="J110" i="323" s="1"/>
  <c r="A110" i="323"/>
  <c r="I109" i="323"/>
  <c r="J109" i="323" s="1"/>
  <c r="A109" i="323"/>
  <c r="I108" i="323"/>
  <c r="J108" i="323" s="1"/>
  <c r="A108" i="323"/>
  <c r="I107" i="323"/>
  <c r="J107" i="323" s="1"/>
  <c r="A107" i="323"/>
  <c r="A106" i="323"/>
  <c r="K105" i="323"/>
  <c r="K15" i="272" s="1"/>
  <c r="G105" i="323"/>
  <c r="G15" i="272" s="1"/>
  <c r="F105" i="323"/>
  <c r="F15" i="272" s="1"/>
  <c r="E105" i="323"/>
  <c r="E15" i="272" s="1"/>
  <c r="D105" i="323"/>
  <c r="D15" i="272" s="1"/>
  <c r="C105" i="323"/>
  <c r="C15" i="272" s="1"/>
  <c r="K104" i="323"/>
  <c r="I104" i="323"/>
  <c r="J104" i="323" s="1"/>
  <c r="A104" i="323"/>
  <c r="K103" i="323"/>
  <c r="I103" i="323"/>
  <c r="J103" i="323" s="1"/>
  <c r="A103" i="323"/>
  <c r="K102" i="323"/>
  <c r="I102" i="323"/>
  <c r="J102" i="323" s="1"/>
  <c r="A102" i="323"/>
  <c r="K101" i="323"/>
  <c r="I101" i="323"/>
  <c r="J101" i="323" s="1"/>
  <c r="A101" i="323"/>
  <c r="K100" i="323"/>
  <c r="I100" i="323"/>
  <c r="J100" i="323" s="1"/>
  <c r="A100" i="323"/>
  <c r="K99" i="323"/>
  <c r="I99" i="323"/>
  <c r="J99" i="323" s="1"/>
  <c r="A99" i="323"/>
  <c r="K98" i="323"/>
  <c r="I98" i="323"/>
  <c r="J98" i="323" s="1"/>
  <c r="A98" i="323"/>
  <c r="K97" i="323"/>
  <c r="I97" i="323"/>
  <c r="J97" i="323" s="1"/>
  <c r="A97" i="323"/>
  <c r="K96" i="323"/>
  <c r="I96" i="323"/>
  <c r="J96" i="323" s="1"/>
  <c r="A96" i="323"/>
  <c r="K95" i="323"/>
  <c r="I95" i="323"/>
  <c r="J95" i="323" s="1"/>
  <c r="A95" i="323"/>
  <c r="H94" i="323"/>
  <c r="H14" i="272" s="1"/>
  <c r="G94" i="323"/>
  <c r="G14" i="272" s="1"/>
  <c r="F94" i="323"/>
  <c r="E94" i="323"/>
  <c r="E14" i="272" s="1"/>
  <c r="D94" i="323"/>
  <c r="D14" i="272" s="1"/>
  <c r="C94" i="323"/>
  <c r="C14" i="272" s="1"/>
  <c r="K93" i="323"/>
  <c r="I93" i="323"/>
  <c r="J93" i="323" s="1"/>
  <c r="A93" i="323"/>
  <c r="K92" i="323"/>
  <c r="I92" i="323"/>
  <c r="J92" i="323" s="1"/>
  <c r="A92" i="323"/>
  <c r="K91" i="323"/>
  <c r="I91" i="323"/>
  <c r="J91" i="323" s="1"/>
  <c r="A91" i="323"/>
  <c r="K90" i="323"/>
  <c r="I90" i="323"/>
  <c r="J90" i="323" s="1"/>
  <c r="A90" i="323"/>
  <c r="K89" i="323"/>
  <c r="I89" i="323"/>
  <c r="J89" i="323" s="1"/>
  <c r="A89" i="323"/>
  <c r="K88" i="323"/>
  <c r="I88" i="323"/>
  <c r="J88" i="323" s="1"/>
  <c r="A88" i="323"/>
  <c r="K87" i="323"/>
  <c r="I87" i="323"/>
  <c r="J87" i="323" s="1"/>
  <c r="A87" i="323"/>
  <c r="K86" i="323"/>
  <c r="I86" i="323"/>
  <c r="J86" i="323" s="1"/>
  <c r="A86" i="323"/>
  <c r="K85" i="323"/>
  <c r="I85" i="323"/>
  <c r="J85" i="323" s="1"/>
  <c r="A85" i="323"/>
  <c r="K84" i="323"/>
  <c r="I84" i="323"/>
  <c r="J84" i="323" s="1"/>
  <c r="A84" i="323"/>
  <c r="H83" i="323"/>
  <c r="H13" i="272" s="1"/>
  <c r="G83" i="323"/>
  <c r="G13" i="272" s="1"/>
  <c r="F83" i="323"/>
  <c r="F13" i="272" s="1"/>
  <c r="E83" i="323"/>
  <c r="E13" i="272" s="1"/>
  <c r="D83" i="323"/>
  <c r="D13" i="272" s="1"/>
  <c r="C83" i="323"/>
  <c r="K82" i="323"/>
  <c r="I82" i="323"/>
  <c r="J82" i="323" s="1"/>
  <c r="A82" i="323"/>
  <c r="K81" i="323"/>
  <c r="I81" i="323"/>
  <c r="J81" i="323" s="1"/>
  <c r="A81" i="323"/>
  <c r="K80" i="323"/>
  <c r="I80" i="323"/>
  <c r="J80" i="323" s="1"/>
  <c r="A80" i="323"/>
  <c r="K79" i="323"/>
  <c r="I79" i="323"/>
  <c r="J79" i="323" s="1"/>
  <c r="A79" i="323"/>
  <c r="K78" i="323"/>
  <c r="I78" i="323"/>
  <c r="J78" i="323" s="1"/>
  <c r="A78" i="323"/>
  <c r="K77" i="323"/>
  <c r="I77" i="323"/>
  <c r="J77" i="323" s="1"/>
  <c r="A77" i="323"/>
  <c r="K76" i="323"/>
  <c r="I76" i="323"/>
  <c r="J76" i="323" s="1"/>
  <c r="A76" i="323"/>
  <c r="K75" i="323"/>
  <c r="I75" i="323"/>
  <c r="J75" i="323" s="1"/>
  <c r="A75" i="323"/>
  <c r="K74" i="323"/>
  <c r="I74" i="323"/>
  <c r="J74" i="323" s="1"/>
  <c r="A74" i="323"/>
  <c r="K73" i="323"/>
  <c r="I73" i="323"/>
  <c r="J73" i="323" s="1"/>
  <c r="A73" i="323"/>
  <c r="H72" i="323"/>
  <c r="H12" i="272" s="1"/>
  <c r="G72" i="323"/>
  <c r="G12" i="272" s="1"/>
  <c r="F72" i="323"/>
  <c r="F12" i="272" s="1"/>
  <c r="E72" i="323"/>
  <c r="E12" i="272" s="1"/>
  <c r="D72" i="323"/>
  <c r="D12" i="272" s="1"/>
  <c r="C72" i="323"/>
  <c r="C12" i="272" s="1"/>
  <c r="K71" i="323"/>
  <c r="I71" i="323"/>
  <c r="J71" i="323" s="1"/>
  <c r="A71" i="323"/>
  <c r="K70" i="323"/>
  <c r="I70" i="323"/>
  <c r="J70" i="323" s="1"/>
  <c r="A70" i="323"/>
  <c r="K69" i="323"/>
  <c r="I69" i="323"/>
  <c r="J69" i="323" s="1"/>
  <c r="A69" i="323"/>
  <c r="K68" i="323"/>
  <c r="I68" i="323"/>
  <c r="J68" i="323" s="1"/>
  <c r="A68" i="323"/>
  <c r="K67" i="323"/>
  <c r="I67" i="323"/>
  <c r="J67" i="323" s="1"/>
  <c r="A67" i="323"/>
  <c r="K66" i="323"/>
  <c r="I66" i="323"/>
  <c r="J66" i="323" s="1"/>
  <c r="A66" i="323"/>
  <c r="K65" i="323"/>
  <c r="I65" i="323"/>
  <c r="J65" i="323" s="1"/>
  <c r="A65" i="323"/>
  <c r="K64" i="323"/>
  <c r="I64" i="323"/>
  <c r="J64" i="323" s="1"/>
  <c r="A64" i="323"/>
  <c r="K63" i="323"/>
  <c r="I63" i="323"/>
  <c r="J63" i="323" s="1"/>
  <c r="A63" i="323"/>
  <c r="K62" i="323"/>
  <c r="I62" i="323"/>
  <c r="J62" i="323" s="1"/>
  <c r="A62" i="323"/>
  <c r="H61" i="323"/>
  <c r="H11" i="272" s="1"/>
  <c r="G61" i="323"/>
  <c r="G11" i="272" s="1"/>
  <c r="F61" i="323"/>
  <c r="F11" i="272" s="1"/>
  <c r="E61" i="323"/>
  <c r="E11" i="272" s="1"/>
  <c r="D61" i="323"/>
  <c r="D11" i="272" s="1"/>
  <c r="C61" i="323"/>
  <c r="C11" i="272" s="1"/>
  <c r="K60" i="323"/>
  <c r="I60" i="323"/>
  <c r="J60" i="323" s="1"/>
  <c r="A60" i="323"/>
  <c r="K59" i="323"/>
  <c r="I59" i="323"/>
  <c r="J59" i="323" s="1"/>
  <c r="A59" i="323"/>
  <c r="K58" i="323"/>
  <c r="I58" i="323"/>
  <c r="J58" i="323" s="1"/>
  <c r="A58" i="323"/>
  <c r="K57" i="323"/>
  <c r="I57" i="323"/>
  <c r="J57" i="323" s="1"/>
  <c r="A57" i="323"/>
  <c r="K56" i="323"/>
  <c r="I56" i="323"/>
  <c r="J56" i="323" s="1"/>
  <c r="A56" i="323"/>
  <c r="K55" i="323"/>
  <c r="I55" i="323"/>
  <c r="J55" i="323" s="1"/>
  <c r="A55" i="323"/>
  <c r="K54" i="323"/>
  <c r="I54" i="323"/>
  <c r="J54" i="323" s="1"/>
  <c r="A54" i="323"/>
  <c r="K53" i="323"/>
  <c r="I53" i="323"/>
  <c r="J53" i="323" s="1"/>
  <c r="A53" i="323"/>
  <c r="K52" i="323"/>
  <c r="I52" i="323"/>
  <c r="J52" i="323" s="1"/>
  <c r="A52" i="323"/>
  <c r="K51" i="323"/>
  <c r="I51" i="323"/>
  <c r="J51" i="323" s="1"/>
  <c r="A51" i="323"/>
  <c r="H50" i="323"/>
  <c r="H10" i="272" s="1"/>
  <c r="G50" i="323"/>
  <c r="G10" i="272" s="1"/>
  <c r="F50" i="323"/>
  <c r="F10" i="272" s="1"/>
  <c r="E50" i="323"/>
  <c r="E10" i="272" s="1"/>
  <c r="D50" i="323"/>
  <c r="D10" i="272" s="1"/>
  <c r="C50" i="323"/>
  <c r="C10" i="272" s="1"/>
  <c r="K49" i="323"/>
  <c r="I49" i="323"/>
  <c r="J49" i="323" s="1"/>
  <c r="A49" i="323"/>
  <c r="K48" i="323"/>
  <c r="I48" i="323"/>
  <c r="J48" i="323" s="1"/>
  <c r="A48" i="323"/>
  <c r="K47" i="323"/>
  <c r="I47" i="323"/>
  <c r="J47" i="323" s="1"/>
  <c r="A47" i="323"/>
  <c r="K46" i="323"/>
  <c r="I46" i="323"/>
  <c r="J46" i="323" s="1"/>
  <c r="A46" i="323"/>
  <c r="K45" i="323"/>
  <c r="I45" i="323"/>
  <c r="J45" i="323" s="1"/>
  <c r="A45" i="323"/>
  <c r="K44" i="323"/>
  <c r="I44" i="323"/>
  <c r="J44" i="323" s="1"/>
  <c r="A44" i="323"/>
  <c r="K43" i="323"/>
  <c r="I43" i="323"/>
  <c r="J43" i="323" s="1"/>
  <c r="A43" i="323"/>
  <c r="K42" i="323"/>
  <c r="I42" i="323"/>
  <c r="J42" i="323" s="1"/>
  <c r="A42" i="323"/>
  <c r="K41" i="323"/>
  <c r="I41" i="323"/>
  <c r="J41" i="323" s="1"/>
  <c r="A41" i="323"/>
  <c r="K40" i="323"/>
  <c r="I40" i="323"/>
  <c r="J40" i="323" s="1"/>
  <c r="A40" i="323"/>
  <c r="H39" i="323"/>
  <c r="G39" i="323"/>
  <c r="G9" i="272" s="1"/>
  <c r="F39" i="323"/>
  <c r="F9" i="272" s="1"/>
  <c r="E39" i="323"/>
  <c r="E9" i="272" s="1"/>
  <c r="D39" i="323"/>
  <c r="D9" i="272" s="1"/>
  <c r="C39" i="323"/>
  <c r="C9" i="272" s="1"/>
  <c r="I38" i="323"/>
  <c r="J38" i="323" s="1"/>
  <c r="A38" i="323"/>
  <c r="I37" i="323"/>
  <c r="J37" i="323" s="1"/>
  <c r="A37" i="323"/>
  <c r="I36" i="323"/>
  <c r="J36" i="323" s="1"/>
  <c r="A36" i="323"/>
  <c r="I35" i="323"/>
  <c r="J35" i="323" s="1"/>
  <c r="A35" i="323"/>
  <c r="I34" i="323"/>
  <c r="J34" i="323" s="1"/>
  <c r="A34" i="323"/>
  <c r="I33" i="323"/>
  <c r="J33" i="323" s="1"/>
  <c r="A33" i="323"/>
  <c r="I32" i="323"/>
  <c r="J32" i="323" s="1"/>
  <c r="A32" i="323"/>
  <c r="I31" i="323"/>
  <c r="J31" i="323" s="1"/>
  <c r="A31" i="323"/>
  <c r="I30" i="323"/>
  <c r="J30" i="323" s="1"/>
  <c r="A30" i="323"/>
  <c r="A29" i="323"/>
  <c r="K28" i="323"/>
  <c r="K8" i="272" s="1"/>
  <c r="F28" i="323"/>
  <c r="F8" i="272" s="1"/>
  <c r="E28" i="323"/>
  <c r="E8" i="272" s="1"/>
  <c r="D28" i="323"/>
  <c r="C28" i="323"/>
  <c r="C8" i="272" s="1"/>
  <c r="I27" i="323"/>
  <c r="J27" i="323" s="1"/>
  <c r="A27" i="323"/>
  <c r="I26" i="323"/>
  <c r="J26" i="323" s="1"/>
  <c r="A26" i="323"/>
  <c r="I25" i="323"/>
  <c r="J25" i="323" s="1"/>
  <c r="A25" i="323"/>
  <c r="I24" i="323"/>
  <c r="J24" i="323" s="1"/>
  <c r="A24" i="323"/>
  <c r="I23" i="323"/>
  <c r="J23" i="323" s="1"/>
  <c r="A23" i="323"/>
  <c r="I22" i="323"/>
  <c r="J22" i="323" s="1"/>
  <c r="A22" i="323"/>
  <c r="I21" i="323"/>
  <c r="J21" i="323" s="1"/>
  <c r="A21" i="323"/>
  <c r="I20" i="323"/>
  <c r="J20" i="323" s="1"/>
  <c r="A20" i="323"/>
  <c r="I19" i="323"/>
  <c r="J19" i="323" s="1"/>
  <c r="A19" i="323"/>
  <c r="A18" i="323"/>
  <c r="K17" i="323"/>
  <c r="K7" i="272" s="1"/>
  <c r="G17" i="323"/>
  <c r="G7" i="272" s="1"/>
  <c r="F17" i="323"/>
  <c r="F7" i="272" s="1"/>
  <c r="E17" i="323"/>
  <c r="E7" i="272" s="1"/>
  <c r="D17" i="323"/>
  <c r="D7" i="272" s="1"/>
  <c r="C17" i="323"/>
  <c r="C7" i="272" s="1"/>
  <c r="I16" i="323"/>
  <c r="J16" i="323" s="1"/>
  <c r="A16" i="323"/>
  <c r="I15" i="323"/>
  <c r="J15" i="323" s="1"/>
  <c r="A15" i="323"/>
  <c r="I14" i="323"/>
  <c r="J14" i="323" s="1"/>
  <c r="A14" i="323"/>
  <c r="I13" i="323"/>
  <c r="J13" i="323" s="1"/>
  <c r="A13" i="323"/>
  <c r="I12" i="323"/>
  <c r="J12" i="323" s="1"/>
  <c r="A12" i="323"/>
  <c r="I11" i="323"/>
  <c r="J11" i="323" s="1"/>
  <c r="A11" i="323"/>
  <c r="I10" i="323"/>
  <c r="J10" i="323" s="1"/>
  <c r="A10" i="323"/>
  <c r="I9" i="323"/>
  <c r="J9" i="323" s="1"/>
  <c r="A9" i="323"/>
  <c r="I8" i="323"/>
  <c r="J8" i="323" s="1"/>
  <c r="A8" i="323"/>
  <c r="I7" i="323"/>
  <c r="J7" i="323" s="1"/>
  <c r="A7" i="323"/>
  <c r="K6" i="323"/>
  <c r="G6" i="323"/>
  <c r="F6" i="323"/>
  <c r="F6" i="272" s="1"/>
  <c r="E6" i="323"/>
  <c r="E6" i="272" s="1"/>
  <c r="D6" i="323"/>
  <c r="D6" i="272"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F38" i="272"/>
  <c r="K37" i="272"/>
  <c r="D37" i="272"/>
  <c r="F36" i="272"/>
  <c r="E36" i="272"/>
  <c r="D36" i="272"/>
  <c r="K35" i="272"/>
  <c r="D35" i="272"/>
  <c r="G33" i="272"/>
  <c r="C33" i="272"/>
  <c r="C32" i="272"/>
  <c r="D31" i="272"/>
  <c r="G29" i="272"/>
  <c r="G27" i="272"/>
  <c r="C26" i="272"/>
  <c r="G25" i="272"/>
  <c r="A25" i="272"/>
  <c r="D24" i="272"/>
  <c r="F19" i="272"/>
  <c r="C19" i="272"/>
  <c r="G17" i="272"/>
  <c r="F17" i="272"/>
  <c r="D16" i="272"/>
  <c r="F14" i="272"/>
  <c r="C13" i="272"/>
  <c r="K3" i="272"/>
  <c r="J3" i="272"/>
  <c r="I3" i="272"/>
  <c r="H3" i="272"/>
  <c r="G3" i="272"/>
  <c r="F3" i="272"/>
  <c r="E3" i="272"/>
  <c r="D3" i="272"/>
  <c r="C3" i="272"/>
  <c r="B2" i="272"/>
  <c r="A2" i="272"/>
  <c r="A251" i="330"/>
  <c r="A250" i="330"/>
  <c r="A249" i="330"/>
  <c r="H248" i="330"/>
  <c r="I248" i="330" s="1"/>
  <c r="J248" i="330" s="1"/>
  <c r="A248" i="330"/>
  <c r="H247" i="330"/>
  <c r="I247" i="330" s="1"/>
  <c r="J247" i="330" s="1"/>
  <c r="A247" i="330"/>
  <c r="H246" i="330"/>
  <c r="I246" i="330" s="1"/>
  <c r="J246" i="330" s="1"/>
  <c r="A246" i="330"/>
  <c r="H245" i="330"/>
  <c r="I245" i="330" s="1"/>
  <c r="J245" i="330" s="1"/>
  <c r="A245" i="330"/>
  <c r="H244" i="330"/>
  <c r="I244" i="330" s="1"/>
  <c r="J244" i="330" s="1"/>
  <c r="A244" i="330"/>
  <c r="H243" i="330"/>
  <c r="I243" i="330" s="1"/>
  <c r="J243" i="330" s="1"/>
  <c r="A243" i="330"/>
  <c r="K242" i="330"/>
  <c r="K48" i="241" s="1"/>
  <c r="G242" i="330"/>
  <c r="F242" i="330"/>
  <c r="F48" i="241" s="1"/>
  <c r="E242" i="330"/>
  <c r="E48" i="241" s="1"/>
  <c r="D242" i="330"/>
  <c r="D48" i="241" s="1"/>
  <c r="C242" i="330"/>
  <c r="C48" i="241" s="1"/>
  <c r="A242" i="330"/>
  <c r="I241" i="330"/>
  <c r="J241" i="330" s="1"/>
  <c r="A241" i="330"/>
  <c r="I240" i="330"/>
  <c r="J240" i="330" s="1"/>
  <c r="A240" i="330"/>
  <c r="I239" i="330"/>
  <c r="J239" i="330" s="1"/>
  <c r="A239" i="330"/>
  <c r="K237" i="330"/>
  <c r="K47" i="241" s="1"/>
  <c r="I238" i="330"/>
  <c r="J238" i="330" s="1"/>
  <c r="A238" i="330"/>
  <c r="H237" i="330"/>
  <c r="H47" i="241" s="1"/>
  <c r="G237" i="330"/>
  <c r="G47" i="241" s="1"/>
  <c r="F237" i="330"/>
  <c r="E237" i="330"/>
  <c r="E47" i="241" s="1"/>
  <c r="D237" i="330"/>
  <c r="D47" i="241" s="1"/>
  <c r="C237" i="330"/>
  <c r="C47" i="241" s="1"/>
  <c r="A237" i="330"/>
  <c r="I236" i="330"/>
  <c r="J236" i="330" s="1"/>
  <c r="A236" i="330"/>
  <c r="I235" i="330"/>
  <c r="J235" i="330" s="1"/>
  <c r="A235" i="330"/>
  <c r="I234" i="330"/>
  <c r="J234" i="330" s="1"/>
  <c r="A234" i="330"/>
  <c r="K232" i="330"/>
  <c r="K46" i="241" s="1"/>
  <c r="I233" i="330"/>
  <c r="J233" i="330" s="1"/>
  <c r="A233" i="330"/>
  <c r="G232" i="330"/>
  <c r="G46" i="241" s="1"/>
  <c r="F232" i="330"/>
  <c r="E232" i="330"/>
  <c r="E46" i="241" s="1"/>
  <c r="D232" i="330"/>
  <c r="D46" i="241" s="1"/>
  <c r="C232" i="330"/>
  <c r="C46" i="241" s="1"/>
  <c r="A232" i="330"/>
  <c r="I231" i="330"/>
  <c r="J231" i="330" s="1"/>
  <c r="A231" i="330"/>
  <c r="K230" i="330"/>
  <c r="I230" i="330"/>
  <c r="J230" i="330" s="1"/>
  <c r="A230" i="330"/>
  <c r="K229" i="330"/>
  <c r="I229" i="330"/>
  <c r="J229" i="330" s="1"/>
  <c r="A229" i="330"/>
  <c r="H228" i="330"/>
  <c r="H45" i="241" s="1"/>
  <c r="G228" i="330"/>
  <c r="F228" i="330"/>
  <c r="F45" i="241" s="1"/>
  <c r="E228" i="330"/>
  <c r="E45" i="241" s="1"/>
  <c r="D228" i="330"/>
  <c r="C228" i="330"/>
  <c r="C45" i="241" s="1"/>
  <c r="A228" i="330"/>
  <c r="K227" i="330"/>
  <c r="I227" i="330"/>
  <c r="J227" i="330" s="1"/>
  <c r="A227" i="330"/>
  <c r="I226" i="330"/>
  <c r="J226" i="330" s="1"/>
  <c r="A226" i="330"/>
  <c r="K225" i="330"/>
  <c r="I225" i="330"/>
  <c r="J225" i="330" s="1"/>
  <c r="A225" i="330"/>
  <c r="H224" i="330"/>
  <c r="G224" i="330"/>
  <c r="G44" i="241" s="1"/>
  <c r="F224" i="330"/>
  <c r="F44" i="241" s="1"/>
  <c r="E224" i="330"/>
  <c r="D224" i="330"/>
  <c r="C224" i="330"/>
  <c r="A224" i="330"/>
  <c r="A223" i="330"/>
  <c r="K222" i="330"/>
  <c r="I222" i="330"/>
  <c r="J222" i="330" s="1"/>
  <c r="A222" i="330"/>
  <c r="I221" i="330"/>
  <c r="J221" i="330" s="1"/>
  <c r="A221" i="330"/>
  <c r="K220" i="330"/>
  <c r="I220" i="330"/>
  <c r="J220" i="330" s="1"/>
  <c r="A220" i="330"/>
  <c r="K219" i="330"/>
  <c r="I219" i="330"/>
  <c r="J219" i="330" s="1"/>
  <c r="A219" i="330"/>
  <c r="K218" i="330"/>
  <c r="A218" i="330"/>
  <c r="K217" i="330"/>
  <c r="I217" i="330"/>
  <c r="J217" i="330" s="1"/>
  <c r="A217" i="330"/>
  <c r="G216" i="330"/>
  <c r="G42" i="241" s="1"/>
  <c r="F216" i="330"/>
  <c r="F42" i="241" s="1"/>
  <c r="E216" i="330"/>
  <c r="E42" i="241" s="1"/>
  <c r="D216" i="330"/>
  <c r="D42" i="241" s="1"/>
  <c r="C216" i="330"/>
  <c r="C42" i="241" s="1"/>
  <c r="A216" i="330"/>
  <c r="K215" i="330"/>
  <c r="I215" i="330"/>
  <c r="J215" i="330" s="1"/>
  <c r="A215" i="330"/>
  <c r="I214" i="330"/>
  <c r="J214" i="330" s="1"/>
  <c r="A214" i="330"/>
  <c r="K213" i="330"/>
  <c r="I213" i="330"/>
  <c r="J213" i="330" s="1"/>
  <c r="A213" i="330"/>
  <c r="I212" i="330"/>
  <c r="J212" i="330" s="1"/>
  <c r="A212" i="330"/>
  <c r="K211" i="330"/>
  <c r="I211" i="330"/>
  <c r="J211" i="330" s="1"/>
  <c r="A211" i="330"/>
  <c r="K210" i="330"/>
  <c r="I210" i="330"/>
  <c r="J210" i="330" s="1"/>
  <c r="A210" i="330"/>
  <c r="G209" i="330"/>
  <c r="G41" i="241" s="1"/>
  <c r="F209" i="330"/>
  <c r="F41" i="241" s="1"/>
  <c r="E209" i="330"/>
  <c r="E41" i="241" s="1"/>
  <c r="D209" i="330"/>
  <c r="D41" i="241" s="1"/>
  <c r="C209" i="330"/>
  <c r="A209" i="330"/>
  <c r="K208" i="330"/>
  <c r="I208" i="330"/>
  <c r="J208" i="330" s="1"/>
  <c r="A208" i="330"/>
  <c r="K207" i="330"/>
  <c r="I207" i="330"/>
  <c r="J207" i="330" s="1"/>
  <c r="A207" i="330"/>
  <c r="K206" i="330"/>
  <c r="I206" i="330"/>
  <c r="J206" i="330" s="1"/>
  <c r="A206" i="330"/>
  <c r="K205" i="330"/>
  <c r="I205" i="330"/>
  <c r="J205" i="330" s="1"/>
  <c r="A205" i="330"/>
  <c r="K204" i="330"/>
  <c r="I204" i="330"/>
  <c r="J204" i="330" s="1"/>
  <c r="A204" i="330"/>
  <c r="K203" i="330"/>
  <c r="I203" i="330"/>
  <c r="J203" i="330" s="1"/>
  <c r="A203" i="330"/>
  <c r="K202" i="330"/>
  <c r="A202" i="330"/>
  <c r="K201" i="330"/>
  <c r="I201" i="330"/>
  <c r="J201" i="330" s="1"/>
  <c r="A201" i="330"/>
  <c r="K200" i="330"/>
  <c r="I200" i="330"/>
  <c r="J200" i="330" s="1"/>
  <c r="A200" i="330"/>
  <c r="K199" i="330"/>
  <c r="I199" i="330"/>
  <c r="J199" i="330" s="1"/>
  <c r="A199" i="330"/>
  <c r="G198" i="330"/>
  <c r="F198" i="330"/>
  <c r="E198" i="330"/>
  <c r="D198" i="330"/>
  <c r="D40" i="241" s="1"/>
  <c r="C198" i="330"/>
  <c r="C40" i="241" s="1"/>
  <c r="A198" i="330"/>
  <c r="A197" i="330"/>
  <c r="K196" i="330"/>
  <c r="I196" i="330"/>
  <c r="J196" i="330" s="1"/>
  <c r="A196" i="330"/>
  <c r="K195" i="330"/>
  <c r="I195" i="330"/>
  <c r="J195" i="330" s="1"/>
  <c r="A195" i="330"/>
  <c r="K194" i="330"/>
  <c r="I194" i="330"/>
  <c r="J194" i="330" s="1"/>
  <c r="A194" i="330"/>
  <c r="K193" i="330"/>
  <c r="I193" i="330"/>
  <c r="J193" i="330" s="1"/>
  <c r="A193" i="330"/>
  <c r="K192" i="330"/>
  <c r="I192" i="330"/>
  <c r="J192" i="330" s="1"/>
  <c r="A192" i="330"/>
  <c r="I191" i="330"/>
  <c r="J191" i="330" s="1"/>
  <c r="A191" i="330"/>
  <c r="K190" i="330"/>
  <c r="A190" i="330"/>
  <c r="G189" i="330"/>
  <c r="G38" i="241" s="1"/>
  <c r="F189" i="330"/>
  <c r="F38" i="241" s="1"/>
  <c r="E189" i="330"/>
  <c r="E38" i="241" s="1"/>
  <c r="D189" i="330"/>
  <c r="D38" i="241" s="1"/>
  <c r="C189" i="330"/>
  <c r="C38" i="241" s="1"/>
  <c r="A189" i="330"/>
  <c r="K188" i="330"/>
  <c r="I188" i="330"/>
  <c r="J188" i="330" s="1"/>
  <c r="A188" i="330"/>
  <c r="I187" i="330"/>
  <c r="J187" i="330" s="1"/>
  <c r="A187" i="330"/>
  <c r="H37" i="241"/>
  <c r="F37" i="241"/>
  <c r="E37" i="241"/>
  <c r="D37" i="241"/>
  <c r="A186" i="330"/>
  <c r="K185" i="330"/>
  <c r="I185" i="330"/>
  <c r="J185" i="330" s="1"/>
  <c r="A185" i="330"/>
  <c r="K184" i="330"/>
  <c r="I184" i="330"/>
  <c r="J184" i="330" s="1"/>
  <c r="A184" i="330"/>
  <c r="K183" i="330"/>
  <c r="I183" i="330"/>
  <c r="J183" i="330" s="1"/>
  <c r="A183" i="330"/>
  <c r="K182" i="330"/>
  <c r="I182" i="330"/>
  <c r="J182" i="330" s="1"/>
  <c r="A182" i="330"/>
  <c r="K181" i="330"/>
  <c r="I181" i="330"/>
  <c r="J181" i="330" s="1"/>
  <c r="A181" i="330"/>
  <c r="K180" i="330"/>
  <c r="A180" i="330"/>
  <c r="G179" i="330"/>
  <c r="G36" i="241" s="1"/>
  <c r="F179" i="330"/>
  <c r="E179" i="330"/>
  <c r="E36" i="241" s="1"/>
  <c r="D179" i="330"/>
  <c r="D36" i="241" s="1"/>
  <c r="C179" i="330"/>
  <c r="C36" i="241" s="1"/>
  <c r="A179" i="330"/>
  <c r="K178" i="330"/>
  <c r="I178" i="330"/>
  <c r="J178" i="330" s="1"/>
  <c r="A178" i="330"/>
  <c r="K177" i="330"/>
  <c r="I177" i="330"/>
  <c r="J177" i="330" s="1"/>
  <c r="A177" i="330"/>
  <c r="I176" i="330"/>
  <c r="J176" i="330" s="1"/>
  <c r="A176" i="330"/>
  <c r="K175" i="330"/>
  <c r="I175" i="330"/>
  <c r="J175" i="330" s="1"/>
  <c r="A175" i="330"/>
  <c r="K174" i="330"/>
  <c r="I174" i="330"/>
  <c r="J174" i="330" s="1"/>
  <c r="A174" i="330"/>
  <c r="G173" i="330"/>
  <c r="F173" i="330"/>
  <c r="F35" i="241" s="1"/>
  <c r="E173" i="330"/>
  <c r="E35" i="241" s="1"/>
  <c r="D173" i="330"/>
  <c r="C173" i="330"/>
  <c r="C35" i="241" s="1"/>
  <c r="A173" i="330"/>
  <c r="K172" i="330"/>
  <c r="I172" i="330"/>
  <c r="J172" i="330" s="1"/>
  <c r="A172" i="330"/>
  <c r="K171" i="330"/>
  <c r="I171" i="330"/>
  <c r="J171" i="330" s="1"/>
  <c r="A171" i="330"/>
  <c r="K170" i="330"/>
  <c r="I170" i="330"/>
  <c r="J170" i="330" s="1"/>
  <c r="A170" i="330"/>
  <c r="K169" i="330"/>
  <c r="I169" i="330"/>
  <c r="J169" i="330" s="1"/>
  <c r="A169" i="330"/>
  <c r="K168" i="330"/>
  <c r="I168" i="330"/>
  <c r="J168" i="330" s="1"/>
  <c r="A168" i="330"/>
  <c r="K167" i="330"/>
  <c r="I167" i="330"/>
  <c r="J167" i="330" s="1"/>
  <c r="A167" i="330"/>
  <c r="K166" i="330"/>
  <c r="I166" i="330"/>
  <c r="J166" i="330" s="1"/>
  <c r="A166" i="330"/>
  <c r="K165" i="330"/>
  <c r="I165" i="330"/>
  <c r="J165" i="330" s="1"/>
  <c r="A165" i="330"/>
  <c r="K164" i="330"/>
  <c r="I164" i="330"/>
  <c r="J164" i="330" s="1"/>
  <c r="A164" i="330"/>
  <c r="K163" i="330"/>
  <c r="I163" i="330"/>
  <c r="J163" i="330" s="1"/>
  <c r="A163" i="330"/>
  <c r="K162" i="330"/>
  <c r="I162" i="330"/>
  <c r="J162" i="330" s="1"/>
  <c r="A162" i="330"/>
  <c r="K161" i="330"/>
  <c r="I161" i="330"/>
  <c r="J161" i="330" s="1"/>
  <c r="A161" i="330"/>
  <c r="K160" i="330"/>
  <c r="I160" i="330"/>
  <c r="J160" i="330" s="1"/>
  <c r="A160" i="330"/>
  <c r="K159" i="330"/>
  <c r="I159" i="330"/>
  <c r="J159" i="330" s="1"/>
  <c r="A159" i="330"/>
  <c r="K158" i="330"/>
  <c r="I158" i="330"/>
  <c r="J158" i="330" s="1"/>
  <c r="A158" i="330"/>
  <c r="K157" i="330"/>
  <c r="I157" i="330"/>
  <c r="J157" i="330" s="1"/>
  <c r="A157" i="330"/>
  <c r="K156" i="330"/>
  <c r="I156" i="330"/>
  <c r="J156" i="330" s="1"/>
  <c r="A156" i="330"/>
  <c r="K155" i="330"/>
  <c r="I155" i="330"/>
  <c r="J155" i="330" s="1"/>
  <c r="A155" i="330"/>
  <c r="K154" i="330"/>
  <c r="I154" i="330"/>
  <c r="J154" i="330" s="1"/>
  <c r="A154" i="330"/>
  <c r="K153" i="330"/>
  <c r="I153" i="330"/>
  <c r="J153" i="330" s="1"/>
  <c r="A153" i="330"/>
  <c r="K152" i="330"/>
  <c r="A152" i="330"/>
  <c r="G151" i="330"/>
  <c r="F151" i="330"/>
  <c r="E151" i="330"/>
  <c r="D151" i="330"/>
  <c r="D34" i="241" s="1"/>
  <c r="C151" i="330"/>
  <c r="A151" i="330"/>
  <c r="A150" i="330"/>
  <c r="K149" i="330"/>
  <c r="K148" i="330" s="1"/>
  <c r="K32" i="241" s="1"/>
  <c r="I149" i="330"/>
  <c r="J149" i="330" s="1"/>
  <c r="A149" i="330"/>
  <c r="H148" i="330"/>
  <c r="G148" i="330"/>
  <c r="G32" i="241" s="1"/>
  <c r="F148" i="330"/>
  <c r="F32" i="241" s="1"/>
  <c r="E148" i="330"/>
  <c r="E32" i="241" s="1"/>
  <c r="D148" i="330"/>
  <c r="D32" i="241" s="1"/>
  <c r="C148" i="330"/>
  <c r="C32" i="241" s="1"/>
  <c r="A148" i="330"/>
  <c r="K147" i="330"/>
  <c r="I147" i="330"/>
  <c r="J147" i="330" s="1"/>
  <c r="A147" i="330"/>
  <c r="I146" i="330"/>
  <c r="J146" i="330"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K134" i="330"/>
  <c r="I134" i="330"/>
  <c r="J134" i="330" s="1"/>
  <c r="A134" i="330"/>
  <c r="G133" i="330"/>
  <c r="G31" i="241" s="1"/>
  <c r="F133" i="330"/>
  <c r="F31" i="241" s="1"/>
  <c r="E133" i="330"/>
  <c r="E31" i="241" s="1"/>
  <c r="D133" i="330"/>
  <c r="C133" i="330"/>
  <c r="C31" i="241" s="1"/>
  <c r="A133" i="330"/>
  <c r="I132" i="330"/>
  <c r="J132" i="330" s="1"/>
  <c r="A132" i="330"/>
  <c r="K131" i="330"/>
  <c r="I131" i="330"/>
  <c r="J131" i="330" s="1"/>
  <c r="A131" i="330"/>
  <c r="H130" i="330"/>
  <c r="G130" i="330"/>
  <c r="F130" i="330"/>
  <c r="E130" i="330"/>
  <c r="D130" i="330"/>
  <c r="D30" i="241" s="1"/>
  <c r="C130" i="330"/>
  <c r="C129" i="330" s="1"/>
  <c r="A130" i="330"/>
  <c r="A129" i="330"/>
  <c r="A126" i="330"/>
  <c r="I125" i="330"/>
  <c r="J125" i="330" s="1"/>
  <c r="I124" i="330"/>
  <c r="J124" i="330" s="1"/>
  <c r="I123" i="330"/>
  <c r="J123" i="330" s="1"/>
  <c r="I122" i="330"/>
  <c r="J122" i="330" s="1"/>
  <c r="I121" i="330"/>
  <c r="J121" i="330" s="1"/>
  <c r="I120" i="330"/>
  <c r="J120" i="330" s="1"/>
  <c r="K119" i="330"/>
  <c r="K25" i="241" s="1"/>
  <c r="H119" i="330"/>
  <c r="H25" i="241" s="1"/>
  <c r="G119" i="330"/>
  <c r="F119" i="330"/>
  <c r="F25" i="241" s="1"/>
  <c r="E119" i="330"/>
  <c r="E25" i="241" s="1"/>
  <c r="D119" i="330"/>
  <c r="D25" i="241" s="1"/>
  <c r="C119" i="330"/>
  <c r="C25" i="241" s="1"/>
  <c r="K118" i="330"/>
  <c r="I118" i="330"/>
  <c r="J118" i="330" s="1"/>
  <c r="K117" i="330"/>
  <c r="I117" i="330"/>
  <c r="J117" i="330" s="1"/>
  <c r="I116" i="330"/>
  <c r="J116" i="330" s="1"/>
  <c r="K115" i="330"/>
  <c r="I115" i="330"/>
  <c r="J115" i="330" s="1"/>
  <c r="H114" i="330"/>
  <c r="G114" i="330"/>
  <c r="G24" i="241" s="1"/>
  <c r="F114" i="330"/>
  <c r="F24" i="241" s="1"/>
  <c r="E114" i="330"/>
  <c r="E24" i="241" s="1"/>
  <c r="D114" i="330"/>
  <c r="C114" i="330"/>
  <c r="K113" i="330"/>
  <c r="I113" i="330"/>
  <c r="J113" i="330" s="1"/>
  <c r="I112" i="330"/>
  <c r="J112" i="330" s="1"/>
  <c r="I111" i="330"/>
  <c r="J111" i="330" s="1"/>
  <c r="K110" i="330"/>
  <c r="K109" i="330" s="1"/>
  <c r="K23" i="241" s="1"/>
  <c r="I110" i="330"/>
  <c r="J110" i="330" s="1"/>
  <c r="H109" i="330"/>
  <c r="H23" i="241" s="1"/>
  <c r="G109" i="330"/>
  <c r="F109" i="330"/>
  <c r="F23" i="241" s="1"/>
  <c r="E109" i="330"/>
  <c r="E23" i="241" s="1"/>
  <c r="D109" i="330"/>
  <c r="D23" i="241" s="1"/>
  <c r="C109" i="330"/>
  <c r="K108" i="330"/>
  <c r="I108" i="330"/>
  <c r="J108" i="330" s="1"/>
  <c r="I107" i="330"/>
  <c r="J107" i="330" s="1"/>
  <c r="K106" i="330"/>
  <c r="G105" i="330"/>
  <c r="G22" i="241" s="1"/>
  <c r="F105" i="330"/>
  <c r="E105" i="330"/>
  <c r="D105" i="330"/>
  <c r="C105" i="330"/>
  <c r="K104" i="330"/>
  <c r="I104" i="330"/>
  <c r="J104" i="330" s="1"/>
  <c r="K103" i="330"/>
  <c r="I103" i="330"/>
  <c r="J103" i="330" s="1"/>
  <c r="K102" i="330"/>
  <c r="I102" i="330"/>
  <c r="J102" i="330" s="1"/>
  <c r="H101" i="330"/>
  <c r="H21" i="241" s="1"/>
  <c r="G101" i="330"/>
  <c r="F101" i="330"/>
  <c r="F21" i="241" s="1"/>
  <c r="E101" i="330"/>
  <c r="E21" i="241" s="1"/>
  <c r="D101" i="330"/>
  <c r="C101" i="330"/>
  <c r="C21" i="241" s="1"/>
  <c r="K99" i="330"/>
  <c r="I99" i="330"/>
  <c r="J99" i="330" s="1"/>
  <c r="K98" i="330"/>
  <c r="I98" i="330"/>
  <c r="J98" i="330" s="1"/>
  <c r="K97" i="330"/>
  <c r="I97" i="330"/>
  <c r="J97" i="330" s="1"/>
  <c r="K96" i="330"/>
  <c r="I96" i="330"/>
  <c r="J96" i="330" s="1"/>
  <c r="K95" i="330"/>
  <c r="I95" i="330"/>
  <c r="J95" i="330" s="1"/>
  <c r="K94" i="330"/>
  <c r="I94" i="330"/>
  <c r="J94" i="330" s="1"/>
  <c r="H93" i="330"/>
  <c r="G93" i="330"/>
  <c r="G19" i="241" s="1"/>
  <c r="F93" i="330"/>
  <c r="F19" i="241" s="1"/>
  <c r="E93" i="330"/>
  <c r="E19" i="241" s="1"/>
  <c r="D93" i="330"/>
  <c r="D19" i="241" s="1"/>
  <c r="C93" i="330"/>
  <c r="C19" i="241" s="1"/>
  <c r="K92" i="330"/>
  <c r="I92" i="330"/>
  <c r="J92" i="330" s="1"/>
  <c r="K91" i="330"/>
  <c r="I91" i="330"/>
  <c r="J91" i="330" s="1"/>
  <c r="K90" i="330"/>
  <c r="I90" i="330"/>
  <c r="J90" i="330" s="1"/>
  <c r="K89" i="330"/>
  <c r="I89" i="330"/>
  <c r="J89" i="330" s="1"/>
  <c r="K88" i="330"/>
  <c r="I88" i="330"/>
  <c r="J88" i="330" s="1"/>
  <c r="K87" i="330"/>
  <c r="K86" i="330" s="1"/>
  <c r="K18" i="241" s="1"/>
  <c r="I87" i="330"/>
  <c r="J87" i="330" s="1"/>
  <c r="G86" i="330"/>
  <c r="G18" i="241" s="1"/>
  <c r="F86" i="330"/>
  <c r="E86" i="330"/>
  <c r="E18" i="241" s="1"/>
  <c r="D86" i="330"/>
  <c r="D18" i="241" s="1"/>
  <c r="C86" i="330"/>
  <c r="K85" i="330"/>
  <c r="I85" i="330"/>
  <c r="J85" i="330" s="1"/>
  <c r="K84" i="330"/>
  <c r="I84" i="330"/>
  <c r="J84" i="330" s="1"/>
  <c r="K83" i="330"/>
  <c r="I83" i="330"/>
  <c r="J83" i="330" s="1"/>
  <c r="K82" i="330"/>
  <c r="I82" i="330"/>
  <c r="J82" i="330" s="1"/>
  <c r="K81" i="330"/>
  <c r="I81" i="330"/>
  <c r="J81" i="330" s="1"/>
  <c r="K80" i="330"/>
  <c r="I80" i="330"/>
  <c r="J80" i="330" s="1"/>
  <c r="K79" i="330"/>
  <c r="I79" i="330"/>
  <c r="J79" i="330" s="1"/>
  <c r="K78" i="330"/>
  <c r="I78" i="330"/>
  <c r="J78" i="330" s="1"/>
  <c r="K77" i="330"/>
  <c r="I77" i="330"/>
  <c r="J77" i="330" s="1"/>
  <c r="K76" i="330"/>
  <c r="I76" i="330"/>
  <c r="J76" i="330" s="1"/>
  <c r="G75" i="330"/>
  <c r="G17" i="241" s="1"/>
  <c r="F75" i="330"/>
  <c r="F17" i="241" s="1"/>
  <c r="E75" i="330"/>
  <c r="E17" i="241" s="1"/>
  <c r="D75" i="330"/>
  <c r="C75" i="330"/>
  <c r="H73" i="330"/>
  <c r="I73" i="330" s="1"/>
  <c r="J73" i="330" s="1"/>
  <c r="H72" i="330"/>
  <c r="I72" i="330" s="1"/>
  <c r="J72" i="330" s="1"/>
  <c r="H71" i="330"/>
  <c r="I71" i="330" s="1"/>
  <c r="J71" i="330" s="1"/>
  <c r="H70" i="330"/>
  <c r="I70" i="330" s="1"/>
  <c r="J70" i="330" s="1"/>
  <c r="H69" i="330"/>
  <c r="I69" i="330" s="1"/>
  <c r="J69" i="330" s="1"/>
  <c r="K68" i="330"/>
  <c r="K66" i="330" s="1"/>
  <c r="K15" i="241" s="1"/>
  <c r="I68" i="330"/>
  <c r="J68" i="330" s="1"/>
  <c r="I67" i="330"/>
  <c r="J67" i="330" s="1"/>
  <c r="G66" i="330"/>
  <c r="G15" i="241" s="1"/>
  <c r="F66" i="330"/>
  <c r="F15" i="241" s="1"/>
  <c r="E66" i="330"/>
  <c r="E15" i="241" s="1"/>
  <c r="D66" i="330"/>
  <c r="D15" i="241" s="1"/>
  <c r="C66" i="330"/>
  <c r="C15" i="241" s="1"/>
  <c r="K64" i="330"/>
  <c r="K63" i="330" s="1"/>
  <c r="K14" i="241" s="1"/>
  <c r="I64" i="330"/>
  <c r="J64" i="330" s="1"/>
  <c r="E14" i="241"/>
  <c r="K62" i="330"/>
  <c r="I62" i="330"/>
  <c r="J62" i="330" s="1"/>
  <c r="K61" i="330"/>
  <c r="I61" i="330"/>
  <c r="J61" i="330" s="1"/>
  <c r="K60" i="330"/>
  <c r="I60" i="330"/>
  <c r="J60" i="330" s="1"/>
  <c r="K59" i="330"/>
  <c r="I59" i="330"/>
  <c r="J59" i="330" s="1"/>
  <c r="K58" i="330"/>
  <c r="I58" i="330"/>
  <c r="J58" i="330" s="1"/>
  <c r="K57" i="330"/>
  <c r="I57" i="330"/>
  <c r="J57" i="330" s="1"/>
  <c r="G56" i="330"/>
  <c r="G13" i="241" s="1"/>
  <c r="F56" i="330"/>
  <c r="F13" i="241" s="1"/>
  <c r="E56" i="330"/>
  <c r="E13" i="241" s="1"/>
  <c r="D56" i="330"/>
  <c r="D13" i="241" s="1"/>
  <c r="C56" i="330"/>
  <c r="C13" i="241" s="1"/>
  <c r="I55" i="330"/>
  <c r="J55" i="330" s="1"/>
  <c r="I54" i="330"/>
  <c r="J54" i="330" s="1"/>
  <c r="I53" i="330"/>
  <c r="J53" i="330" s="1"/>
  <c r="K50" i="330"/>
  <c r="K12" i="241" s="1"/>
  <c r="I52" i="330"/>
  <c r="J52" i="330" s="1"/>
  <c r="G50" i="330"/>
  <c r="G12" i="241" s="1"/>
  <c r="F50" i="330"/>
  <c r="E50" i="330"/>
  <c r="E12" i="241" s="1"/>
  <c r="D50" i="330"/>
  <c r="D12" i="241" s="1"/>
  <c r="C50" i="330"/>
  <c r="I49" i="330"/>
  <c r="J49" i="330"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H28" i="330"/>
  <c r="H11" i="241" s="1"/>
  <c r="G28" i="330"/>
  <c r="F28" i="330"/>
  <c r="F11" i="241" s="1"/>
  <c r="E28" i="330"/>
  <c r="E11" i="241" s="1"/>
  <c r="D28" i="330"/>
  <c r="D11" i="241" s="1"/>
  <c r="C28" i="330"/>
  <c r="I26" i="330"/>
  <c r="J26" i="330" s="1"/>
  <c r="K25" i="330"/>
  <c r="K9" i="241" s="1"/>
  <c r="H25" i="330"/>
  <c r="H9" i="241" s="1"/>
  <c r="G25" i="330"/>
  <c r="G9" i="241" s="1"/>
  <c r="F25" i="330"/>
  <c r="E25" i="330"/>
  <c r="E9" i="241" s="1"/>
  <c r="D25" i="330"/>
  <c r="D9" i="241" s="1"/>
  <c r="C25" i="330"/>
  <c r="C9" i="241" s="1"/>
  <c r="I24" i="330"/>
  <c r="J24" i="330" s="1"/>
  <c r="I23" i="330"/>
  <c r="J23" i="330" s="1"/>
  <c r="I22" i="330"/>
  <c r="J22" i="330" s="1"/>
  <c r="I21" i="330"/>
  <c r="J21" i="330" s="1"/>
  <c r="I20" i="330"/>
  <c r="J20" i="330" s="1"/>
  <c r="I19" i="330"/>
  <c r="J19" i="330" s="1"/>
  <c r="I18" i="330"/>
  <c r="J18" i="330" s="1"/>
  <c r="I17" i="330"/>
  <c r="J17" i="330" s="1"/>
  <c r="I16" i="330"/>
  <c r="J16" i="330" s="1"/>
  <c r="I15" i="330"/>
  <c r="J15" i="330" s="1"/>
  <c r="I13" i="330"/>
  <c r="J13" i="330" s="1"/>
  <c r="I12" i="330"/>
  <c r="J12" i="330" s="1"/>
  <c r="I11" i="330"/>
  <c r="J11" i="330" s="1"/>
  <c r="G10" i="330"/>
  <c r="F10" i="330"/>
  <c r="F8" i="241" s="1"/>
  <c r="E10" i="330"/>
  <c r="E8" i="241" s="1"/>
  <c r="D10" i="330"/>
  <c r="D8" i="241" s="1"/>
  <c r="C10" i="330"/>
  <c r="C8" i="241" s="1"/>
  <c r="I9" i="330"/>
  <c r="J9" i="330" s="1"/>
  <c r="K7" i="330"/>
  <c r="K7" i="241" s="1"/>
  <c r="I8" i="330"/>
  <c r="J8" i="330" s="1"/>
  <c r="H7" i="330"/>
  <c r="G7" i="330"/>
  <c r="G7" i="241" s="1"/>
  <c r="F7" i="330"/>
  <c r="E7" i="330"/>
  <c r="D7" i="330"/>
  <c r="C7" i="330"/>
  <c r="C7" i="241" s="1"/>
  <c r="K3" i="330"/>
  <c r="J3" i="330"/>
  <c r="I3" i="330"/>
  <c r="H3" i="330"/>
  <c r="G3" i="330"/>
  <c r="F3" i="330"/>
  <c r="E3" i="330"/>
  <c r="D3" i="330"/>
  <c r="C3" i="330"/>
  <c r="B2" i="330"/>
  <c r="A2" i="330"/>
  <c r="A51" i="241"/>
  <c r="F46" i="241"/>
  <c r="D44" i="241"/>
  <c r="C41" i="241"/>
  <c r="G40" i="241"/>
  <c r="G37" i="241"/>
  <c r="C37" i="241"/>
  <c r="F36" i="241"/>
  <c r="G35" i="241"/>
  <c r="G34" i="241"/>
  <c r="F34" i="241"/>
  <c r="E30" i="241"/>
  <c r="C24" i="241"/>
  <c r="G23" i="241"/>
  <c r="C23" i="241"/>
  <c r="D22" i="241"/>
  <c r="C22" i="241"/>
  <c r="D21" i="241"/>
  <c r="F18" i="241"/>
  <c r="C18" i="241"/>
  <c r="G14" i="241"/>
  <c r="F14" i="241"/>
  <c r="C14" i="241"/>
  <c r="C12" i="241"/>
  <c r="F9" i="241"/>
  <c r="G8" i="241"/>
  <c r="K3" i="241"/>
  <c r="J3" i="241"/>
  <c r="I3" i="241"/>
  <c r="H3" i="241"/>
  <c r="G3" i="241"/>
  <c r="F3" i="241"/>
  <c r="E3" i="241"/>
  <c r="D3" i="241"/>
  <c r="C3" i="241"/>
  <c r="B2" i="241"/>
  <c r="A2" i="241"/>
  <c r="H52" i="267"/>
  <c r="G52" i="267"/>
  <c r="E52" i="267"/>
  <c r="D52" i="267"/>
  <c r="A51" i="267"/>
  <c r="I50" i="267"/>
  <c r="A50" i="267"/>
  <c r="A49" i="267"/>
  <c r="I48" i="267"/>
  <c r="H48" i="267"/>
  <c r="G48" i="267"/>
  <c r="F48" i="267"/>
  <c r="E48" i="267"/>
  <c r="D48" i="267"/>
  <c r="C48" i="267"/>
  <c r="B48" i="267"/>
  <c r="E46" i="267"/>
  <c r="J45" i="267"/>
  <c r="D45" i="267"/>
  <c r="C45" i="267"/>
  <c r="J44" i="267"/>
  <c r="C44" i="267"/>
  <c r="J43" i="267"/>
  <c r="D43" i="267"/>
  <c r="D40" i="267"/>
  <c r="B40" i="267"/>
  <c r="D39" i="267"/>
  <c r="C38" i="267"/>
  <c r="C37" i="267"/>
  <c r="J32" i="267"/>
  <c r="G32" i="267"/>
  <c r="F32" i="267"/>
  <c r="E32" i="267"/>
  <c r="D32" i="267"/>
  <c r="C32" i="267"/>
  <c r="B32" i="267"/>
  <c r="J31" i="267"/>
  <c r="G31" i="267"/>
  <c r="F31" i="267"/>
  <c r="E31" i="267"/>
  <c r="D31" i="267"/>
  <c r="C31" i="267"/>
  <c r="B31" i="267"/>
  <c r="J30" i="267"/>
  <c r="G30" i="267"/>
  <c r="F30" i="267"/>
  <c r="E30" i="267"/>
  <c r="D30" i="267"/>
  <c r="C30" i="267"/>
  <c r="B30" i="267"/>
  <c r="J24" i="267"/>
  <c r="G24" i="267"/>
  <c r="F24" i="267"/>
  <c r="E24" i="267"/>
  <c r="D24" i="267"/>
  <c r="C24" i="267"/>
  <c r="B24" i="267"/>
  <c r="J22" i="267"/>
  <c r="G22" i="267"/>
  <c r="F22" i="267"/>
  <c r="E22" i="267"/>
  <c r="D22" i="267"/>
  <c r="C22" i="267"/>
  <c r="B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A127" i="323" s="1"/>
  <c r="D12" i="332"/>
  <c r="D11" i="332"/>
  <c r="D10" i="332"/>
  <c r="D9" i="332"/>
  <c r="A13" i="272"/>
  <c r="D8" i="332"/>
  <c r="D7" i="332"/>
  <c r="D6" i="332"/>
  <c r="D5" i="332"/>
  <c r="D4" i="332"/>
  <c r="D3" i="332"/>
  <c r="C307" i="322"/>
  <c r="B27" i="322"/>
  <c r="B73" i="100" s="1"/>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F98" i="100"/>
  <c r="E98" i="100"/>
  <c r="F97" i="100"/>
  <c r="E97" i="100"/>
  <c r="F96" i="100"/>
  <c r="E96" i="100"/>
  <c r="F95" i="100"/>
  <c r="E95" i="100"/>
  <c r="E94" i="100"/>
  <c r="E93" i="100"/>
  <c r="B92" i="100"/>
  <c r="B91" i="100"/>
  <c r="B90" i="100"/>
  <c r="B89" i="100"/>
  <c r="B88" i="100"/>
  <c r="B87" i="100"/>
  <c r="B86" i="100"/>
  <c r="B85" i="100"/>
  <c r="B84" i="100"/>
  <c r="F83" i="100"/>
  <c r="E83" i="100"/>
  <c r="F82" i="100"/>
  <c r="E82" i="100"/>
  <c r="F81" i="100"/>
  <c r="E81" i="100"/>
  <c r="F80" i="100"/>
  <c r="E80" i="100"/>
  <c r="F79" i="100"/>
  <c r="E79" i="100"/>
  <c r="F78" i="100"/>
  <c r="E78" i="100"/>
  <c r="F77" i="100"/>
  <c r="E77" i="100"/>
  <c r="A75" i="100"/>
  <c r="X36" i="329"/>
  <c r="X11" i="329"/>
  <c r="J40" i="267" l="1"/>
  <c r="H10" i="174"/>
  <c r="E13" i="172"/>
  <c r="F150" i="330"/>
  <c r="G129" i="330"/>
  <c r="C40" i="267"/>
  <c r="K76" i="333"/>
  <c r="I63" i="335"/>
  <c r="J63" i="335" s="1"/>
  <c r="K99" i="335"/>
  <c r="K51" i="324"/>
  <c r="K10" i="268" s="1"/>
  <c r="I286" i="324"/>
  <c r="I330" i="324"/>
  <c r="C38" i="181"/>
  <c r="C42" i="181" s="1"/>
  <c r="C44" i="181" s="1"/>
  <c r="I160" i="242"/>
  <c r="J160" i="242" s="1"/>
  <c r="I140" i="326"/>
  <c r="J140" i="326" s="1"/>
  <c r="B79" i="100"/>
  <c r="G100" i="330"/>
  <c r="K106" i="324"/>
  <c r="K15" i="268" s="1"/>
  <c r="F110" i="242"/>
  <c r="K110" i="325"/>
  <c r="C110" i="333"/>
  <c r="G110" i="333"/>
  <c r="I140" i="333"/>
  <c r="J140" i="333" s="1"/>
  <c r="C110" i="335"/>
  <c r="G110" i="335"/>
  <c r="C31" i="183"/>
  <c r="I49" i="269"/>
  <c r="J49" i="269" s="1"/>
  <c r="B5" i="100"/>
  <c r="I12" i="268"/>
  <c r="J12" i="268" s="1"/>
  <c r="G38" i="268"/>
  <c r="K40" i="324"/>
  <c r="K9" i="268" s="1"/>
  <c r="I73" i="324"/>
  <c r="J73" i="324" s="1"/>
  <c r="I128" i="324"/>
  <c r="J128" i="324" s="1"/>
  <c r="K31" i="183"/>
  <c r="I43" i="183"/>
  <c r="J43" i="183" s="1"/>
  <c r="I154" i="326"/>
  <c r="J154" i="326" s="1"/>
  <c r="I69" i="325"/>
  <c r="J69" i="325" s="1"/>
  <c r="C75" i="325"/>
  <c r="C166" i="325" s="1"/>
  <c r="K99" i="325"/>
  <c r="K75" i="325" s="1"/>
  <c r="C110" i="325"/>
  <c r="G110" i="325"/>
  <c r="E117" i="325"/>
  <c r="K8" i="333"/>
  <c r="K17" i="333"/>
  <c r="K99" i="333"/>
  <c r="K130" i="333"/>
  <c r="K118" i="333"/>
  <c r="C7" i="335"/>
  <c r="H99" i="335"/>
  <c r="I99" i="335" s="1"/>
  <c r="J99" i="335" s="1"/>
  <c r="D36" i="267"/>
  <c r="K83" i="323"/>
  <c r="K13" i="272" s="1"/>
  <c r="I84" i="324"/>
  <c r="J84" i="324" s="1"/>
  <c r="D15" i="318"/>
  <c r="I163" i="326"/>
  <c r="J163" i="326" s="1"/>
  <c r="C7" i="325"/>
  <c r="I160" i="333"/>
  <c r="J160" i="333" s="1"/>
  <c r="J24" i="238"/>
  <c r="K185" i="323"/>
  <c r="K25" i="272" s="1"/>
  <c r="I67" i="318"/>
  <c r="J67" i="318" s="1"/>
  <c r="K83" i="318"/>
  <c r="K84" i="318" s="1"/>
  <c r="K17" i="242"/>
  <c r="K27" i="242"/>
  <c r="K38" i="242"/>
  <c r="K117" i="242"/>
  <c r="F117" i="242"/>
  <c r="H69" i="326"/>
  <c r="K27" i="333"/>
  <c r="K38" i="333"/>
  <c r="C117" i="333"/>
  <c r="F110" i="335"/>
  <c r="E38" i="181"/>
  <c r="E42" i="181" s="1"/>
  <c r="E44" i="181" s="1"/>
  <c r="K105" i="330"/>
  <c r="K22" i="241" s="1"/>
  <c r="K114" i="330"/>
  <c r="K24" i="241" s="1"/>
  <c r="K189" i="330"/>
  <c r="K38" i="241" s="1"/>
  <c r="K273" i="323"/>
  <c r="K33" i="272" s="1"/>
  <c r="N342" i="324"/>
  <c r="R342" i="324"/>
  <c r="V342" i="324"/>
  <c r="E28" i="334"/>
  <c r="C47" i="334"/>
  <c r="I83" i="318"/>
  <c r="J83" i="318" s="1"/>
  <c r="E117" i="333"/>
  <c r="E110" i="335"/>
  <c r="K110" i="335"/>
  <c r="I135" i="335"/>
  <c r="J135" i="335" s="1"/>
  <c r="I157" i="335"/>
  <c r="J157" i="335" s="1"/>
  <c r="I65" i="330"/>
  <c r="J65" i="330" s="1"/>
  <c r="H63" i="330"/>
  <c r="D29" i="267"/>
  <c r="D33" i="267" s="1"/>
  <c r="E6" i="330"/>
  <c r="G37" i="268"/>
  <c r="K95" i="324"/>
  <c r="K14" i="268" s="1"/>
  <c r="I297" i="324"/>
  <c r="C32" i="269"/>
  <c r="F25" i="334"/>
  <c r="G25" i="334" s="1"/>
  <c r="Q54" i="317"/>
  <c r="I135" i="242"/>
  <c r="J135" i="242" s="1"/>
  <c r="H45" i="326"/>
  <c r="I45" i="326" s="1"/>
  <c r="J45" i="326" s="1"/>
  <c r="I53" i="326"/>
  <c r="J53" i="326" s="1"/>
  <c r="I63" i="326"/>
  <c r="J63" i="326" s="1"/>
  <c r="E117" i="326"/>
  <c r="K117" i="326"/>
  <c r="I135" i="326"/>
  <c r="J135" i="326" s="1"/>
  <c r="I148" i="326"/>
  <c r="J148" i="326" s="1"/>
  <c r="K45" i="325"/>
  <c r="C7" i="333"/>
  <c r="K13" i="333"/>
  <c r="K69" i="333"/>
  <c r="G21" i="241"/>
  <c r="G20" i="241" s="1"/>
  <c r="D74" i="330"/>
  <c r="K209" i="330"/>
  <c r="K41" i="241" s="1"/>
  <c r="N340" i="323"/>
  <c r="R340" i="323"/>
  <c r="V340" i="323"/>
  <c r="K174" i="323"/>
  <c r="I19" i="268"/>
  <c r="J19" i="268" s="1"/>
  <c r="I187" i="324"/>
  <c r="J187" i="324" s="1"/>
  <c r="I308" i="324"/>
  <c r="E52" i="269"/>
  <c r="I46" i="269"/>
  <c r="J46" i="269" s="1"/>
  <c r="F8" i="334"/>
  <c r="I163" i="242"/>
  <c r="J163" i="242" s="1"/>
  <c r="D117" i="325"/>
  <c r="E110" i="333"/>
  <c r="K110" i="333"/>
  <c r="I135" i="333"/>
  <c r="J135" i="333" s="1"/>
  <c r="K75" i="333"/>
  <c r="C75" i="333"/>
  <c r="F102" i="318"/>
  <c r="G50" i="267"/>
  <c r="C54" i="317"/>
  <c r="C56" i="317" s="1"/>
  <c r="D55" i="317" s="1"/>
  <c r="D52" i="317"/>
  <c r="D54" i="317" s="1"/>
  <c r="I135" i="325"/>
  <c r="J135" i="325" s="1"/>
  <c r="I63" i="325"/>
  <c r="J63" i="325" s="1"/>
  <c r="K140" i="325"/>
  <c r="K138" i="325" s="1"/>
  <c r="K13" i="325"/>
  <c r="H13" i="325"/>
  <c r="F110" i="325"/>
  <c r="I157" i="325"/>
  <c r="J157" i="325" s="1"/>
  <c r="I160" i="325"/>
  <c r="J160" i="325" s="1"/>
  <c r="I163" i="325"/>
  <c r="J163" i="325" s="1"/>
  <c r="D75" i="325"/>
  <c r="J38" i="269"/>
  <c r="J35" i="269" s="1"/>
  <c r="I35" i="269"/>
  <c r="K38" i="326"/>
  <c r="D117" i="242"/>
  <c r="C63" i="268"/>
  <c r="K21" i="175"/>
  <c r="D75" i="242"/>
  <c r="K45" i="242"/>
  <c r="K7" i="242" s="1"/>
  <c r="C75" i="242"/>
  <c r="H6" i="180"/>
  <c r="K67" i="318"/>
  <c r="D102" i="318"/>
  <c r="D68" i="318"/>
  <c r="D31" i="318"/>
  <c r="A43" i="269"/>
  <c r="F52" i="317"/>
  <c r="F54" i="317" s="1"/>
  <c r="F66" i="317" s="1"/>
  <c r="H52" i="317"/>
  <c r="H54" i="317" s="1"/>
  <c r="H66" i="317" s="1"/>
  <c r="D223" i="330"/>
  <c r="D45" i="241"/>
  <c r="D43" i="241" s="1"/>
  <c r="G197" i="330"/>
  <c r="D197" i="330"/>
  <c r="F129" i="330"/>
  <c r="I93" i="330"/>
  <c r="J93" i="330" s="1"/>
  <c r="C74" i="330"/>
  <c r="K56" i="330"/>
  <c r="K13" i="241" s="1"/>
  <c r="E7" i="241"/>
  <c r="E6" i="241" s="1"/>
  <c r="D38" i="267"/>
  <c r="C41" i="178"/>
  <c r="B38" i="267"/>
  <c r="G25" i="268"/>
  <c r="I25" i="268"/>
  <c r="J25" i="268" s="1"/>
  <c r="E341" i="324"/>
  <c r="B29" i="267"/>
  <c r="D63" i="268"/>
  <c r="K43" i="268"/>
  <c r="K63" i="268" s="1"/>
  <c r="K262" i="323"/>
  <c r="K32" i="272" s="1"/>
  <c r="K196" i="323"/>
  <c r="K26" i="272" s="1"/>
  <c r="G38" i="181"/>
  <c r="G42" i="181" s="1"/>
  <c r="G44" i="181" s="1"/>
  <c r="I36" i="181"/>
  <c r="J36" i="181" s="1"/>
  <c r="G75" i="242"/>
  <c r="D39" i="177"/>
  <c r="D41" i="177" s="1"/>
  <c r="C46" i="267" s="1"/>
  <c r="G32" i="269"/>
  <c r="F75" i="242"/>
  <c r="M54" i="317"/>
  <c r="M66" i="317" s="1"/>
  <c r="K38" i="181"/>
  <c r="K42" i="181" s="1"/>
  <c r="K44" i="181" s="1"/>
  <c r="I7" i="330"/>
  <c r="J7" i="330" s="1"/>
  <c r="D27" i="330"/>
  <c r="D14" i="241"/>
  <c r="I29" i="323"/>
  <c r="J29" i="323" s="1"/>
  <c r="H28" i="323"/>
  <c r="K61" i="323"/>
  <c r="K11" i="272" s="1"/>
  <c r="I62" i="324"/>
  <c r="J62" i="324" s="1"/>
  <c r="H11" i="268"/>
  <c r="D110" i="242"/>
  <c r="I111" i="242"/>
  <c r="J111" i="242" s="1"/>
  <c r="D7" i="325"/>
  <c r="I13" i="325"/>
  <c r="J13" i="325" s="1"/>
  <c r="H53" i="325"/>
  <c r="I53" i="325" s="1"/>
  <c r="J53" i="325" s="1"/>
  <c r="I54" i="325"/>
  <c r="J54" i="325" s="1"/>
  <c r="H56" i="330"/>
  <c r="H13" i="241" s="1"/>
  <c r="I13" i="241" s="1"/>
  <c r="J13" i="241" s="1"/>
  <c r="H14" i="241"/>
  <c r="I14" i="241" s="1"/>
  <c r="J14" i="241" s="1"/>
  <c r="H8" i="272"/>
  <c r="K207" i="323"/>
  <c r="K27" i="272" s="1"/>
  <c r="H76" i="335"/>
  <c r="I78" i="335"/>
  <c r="J78" i="335" s="1"/>
  <c r="F30" i="241"/>
  <c r="F29" i="241" s="1"/>
  <c r="H75" i="330"/>
  <c r="H17" i="241" s="1"/>
  <c r="I17" i="241" s="1"/>
  <c r="J17" i="241" s="1"/>
  <c r="D8" i="272"/>
  <c r="D21" i="272" s="1"/>
  <c r="I318" i="323"/>
  <c r="J318" i="323" s="1"/>
  <c r="H317" i="323"/>
  <c r="H37" i="272" s="1"/>
  <c r="K172" i="324"/>
  <c r="I51" i="324"/>
  <c r="J51" i="324" s="1"/>
  <c r="G10" i="268"/>
  <c r="I139" i="324"/>
  <c r="J139" i="324" s="1"/>
  <c r="G18" i="268"/>
  <c r="I18" i="268" s="1"/>
  <c r="J18" i="268" s="1"/>
  <c r="C36" i="267"/>
  <c r="C50" i="267"/>
  <c r="C17" i="241"/>
  <c r="C16" i="241" s="1"/>
  <c r="H19" i="241"/>
  <c r="I19" i="241" s="1"/>
  <c r="J19" i="241" s="1"/>
  <c r="C30" i="241"/>
  <c r="G30" i="241"/>
  <c r="G29" i="241" s="1"/>
  <c r="K10" i="330"/>
  <c r="K8" i="241" s="1"/>
  <c r="K6" i="241" s="1"/>
  <c r="C6" i="330"/>
  <c r="K28" i="330"/>
  <c r="K27" i="330" s="1"/>
  <c r="F27" i="330"/>
  <c r="F74" i="330"/>
  <c r="K93" i="330"/>
  <c r="K19" i="241" s="1"/>
  <c r="D100" i="330"/>
  <c r="I114" i="330"/>
  <c r="J114" i="330" s="1"/>
  <c r="I130" i="330"/>
  <c r="J130" i="330" s="1"/>
  <c r="K173" i="330"/>
  <c r="K35" i="241" s="1"/>
  <c r="C197" i="330"/>
  <c r="C223" i="330"/>
  <c r="K224" i="330"/>
  <c r="K44" i="241" s="1"/>
  <c r="K228" i="330"/>
  <c r="D38" i="272"/>
  <c r="D39" i="272" s="1"/>
  <c r="K39" i="323"/>
  <c r="K9" i="272" s="1"/>
  <c r="K72" i="323"/>
  <c r="K12" i="272" s="1"/>
  <c r="K94" i="323"/>
  <c r="K14" i="272" s="1"/>
  <c r="F21" i="268"/>
  <c r="F172" i="324"/>
  <c r="D341" i="324"/>
  <c r="H176" i="324"/>
  <c r="J319" i="324"/>
  <c r="I37" i="268"/>
  <c r="J37" i="268" s="1"/>
  <c r="I103" i="333"/>
  <c r="J103" i="333" s="1"/>
  <c r="I121" i="335"/>
  <c r="J121" i="335" s="1"/>
  <c r="H118" i="335"/>
  <c r="H117" i="335" s="1"/>
  <c r="I18" i="323"/>
  <c r="J18" i="323" s="1"/>
  <c r="H17" i="323"/>
  <c r="H7" i="272" s="1"/>
  <c r="I7" i="272" s="1"/>
  <c r="J7" i="272" s="1"/>
  <c r="D6" i="330"/>
  <c r="K130" i="330"/>
  <c r="K30" i="241" s="1"/>
  <c r="K179" i="330"/>
  <c r="K36" i="241" s="1"/>
  <c r="K198" i="330"/>
  <c r="K40" i="241" s="1"/>
  <c r="F339" i="323"/>
  <c r="E172" i="324"/>
  <c r="G7" i="268"/>
  <c r="I18" i="324"/>
  <c r="J18" i="324" s="1"/>
  <c r="B100" i="100"/>
  <c r="H24" i="267"/>
  <c r="I24" i="267" s="1"/>
  <c r="C29" i="267"/>
  <c r="C33" i="267" s="1"/>
  <c r="D17" i="241"/>
  <c r="D16" i="241" s="1"/>
  <c r="C27" i="330"/>
  <c r="K75" i="330"/>
  <c r="K17" i="241" s="1"/>
  <c r="D129" i="330"/>
  <c r="I148" i="330"/>
  <c r="J148" i="330" s="1"/>
  <c r="K186" i="330"/>
  <c r="K37" i="241" s="1"/>
  <c r="G34" i="272"/>
  <c r="I37" i="272"/>
  <c r="J37" i="272" s="1"/>
  <c r="D171" i="323"/>
  <c r="D339" i="323"/>
  <c r="K240" i="323"/>
  <c r="K30" i="272" s="1"/>
  <c r="H13" i="268"/>
  <c r="I17" i="268"/>
  <c r="J17" i="268" s="1"/>
  <c r="I117" i="324"/>
  <c r="J117" i="324" s="1"/>
  <c r="G16" i="268"/>
  <c r="J297" i="324"/>
  <c r="I35" i="268"/>
  <c r="J35" i="268" s="1"/>
  <c r="D28" i="334"/>
  <c r="G9" i="334"/>
  <c r="E47" i="334"/>
  <c r="F41" i="334"/>
  <c r="G41" i="334" s="1"/>
  <c r="K229" i="323"/>
  <c r="K29" i="272" s="1"/>
  <c r="I317" i="323"/>
  <c r="J317" i="323" s="1"/>
  <c r="C172" i="324"/>
  <c r="G172" i="324"/>
  <c r="I40" i="324"/>
  <c r="J40" i="324" s="1"/>
  <c r="I95" i="324"/>
  <c r="J95" i="324" s="1"/>
  <c r="G14" i="268"/>
  <c r="I106" i="324"/>
  <c r="J106" i="324" s="1"/>
  <c r="H15" i="268"/>
  <c r="J286" i="324"/>
  <c r="I34" i="268"/>
  <c r="J34" i="268" s="1"/>
  <c r="J308" i="324"/>
  <c r="I36" i="268"/>
  <c r="J36" i="268" s="1"/>
  <c r="J330" i="324"/>
  <c r="I38" i="268"/>
  <c r="J38" i="268" s="1"/>
  <c r="D41" i="178"/>
  <c r="E10" i="174"/>
  <c r="K30" i="318"/>
  <c r="E100" i="318"/>
  <c r="L65" i="317"/>
  <c r="L52" i="317"/>
  <c r="L54" i="317" s="1"/>
  <c r="L66" i="317" s="1"/>
  <c r="H16" i="183"/>
  <c r="H29" i="183"/>
  <c r="K17" i="326"/>
  <c r="C75" i="326"/>
  <c r="G75" i="326"/>
  <c r="C117" i="326"/>
  <c r="G117" i="326"/>
  <c r="I130" i="326"/>
  <c r="J130" i="326" s="1"/>
  <c r="H140" i="325"/>
  <c r="I140" i="325" s="1"/>
  <c r="J140" i="325" s="1"/>
  <c r="D7" i="333"/>
  <c r="E117" i="335"/>
  <c r="K218" i="323"/>
  <c r="K28" i="272" s="1"/>
  <c r="K251" i="323"/>
  <c r="K31" i="272" s="1"/>
  <c r="H284" i="323"/>
  <c r="H34" i="272" s="1"/>
  <c r="H306" i="323"/>
  <c r="I329" i="323"/>
  <c r="J329" i="323" s="1"/>
  <c r="H328" i="323"/>
  <c r="H38" i="272" s="1"/>
  <c r="I38" i="272" s="1"/>
  <c r="J38" i="272" s="1"/>
  <c r="H9" i="268"/>
  <c r="I9" i="268" s="1"/>
  <c r="J9" i="268" s="1"/>
  <c r="I29" i="324"/>
  <c r="J29" i="324" s="1"/>
  <c r="F22" i="334"/>
  <c r="G22" i="334" s="1"/>
  <c r="F44" i="334"/>
  <c r="G44" i="334" s="1"/>
  <c r="D38" i="181"/>
  <c r="D42" i="181" s="1"/>
  <c r="D44" i="181" s="1"/>
  <c r="I6" i="183"/>
  <c r="J6" i="183" s="1"/>
  <c r="E75" i="242"/>
  <c r="G118" i="242"/>
  <c r="G117" i="242" s="1"/>
  <c r="F110" i="326"/>
  <c r="K53" i="325"/>
  <c r="E110" i="325"/>
  <c r="I130" i="325"/>
  <c r="J130" i="325" s="1"/>
  <c r="I141" i="325"/>
  <c r="J141" i="325" s="1"/>
  <c r="K45" i="333"/>
  <c r="K7" i="333" s="1"/>
  <c r="I63" i="333"/>
  <c r="J63" i="333" s="1"/>
  <c r="K117" i="333"/>
  <c r="D7" i="174"/>
  <c r="D172" i="324"/>
  <c r="H172" i="324"/>
  <c r="I161" i="324"/>
  <c r="J161" i="324" s="1"/>
  <c r="L342" i="324"/>
  <c r="P342" i="324"/>
  <c r="T342" i="324"/>
  <c r="H198" i="324"/>
  <c r="I198" i="324" s="1"/>
  <c r="I26" i="268" s="1"/>
  <c r="E11" i="174"/>
  <c r="E32" i="269"/>
  <c r="E54" i="269" s="1"/>
  <c r="C28" i="334"/>
  <c r="D47" i="334"/>
  <c r="F38" i="334"/>
  <c r="G38" i="334" s="1"/>
  <c r="C49" i="318"/>
  <c r="E31" i="318"/>
  <c r="K68" i="318"/>
  <c r="G102" i="318"/>
  <c r="E84" i="318"/>
  <c r="D100" i="318"/>
  <c r="E31" i="183"/>
  <c r="I53" i="242"/>
  <c r="J53" i="242" s="1"/>
  <c r="K110" i="242"/>
  <c r="K8" i="326"/>
  <c r="H76" i="326"/>
  <c r="E110" i="326"/>
  <c r="I148" i="325"/>
  <c r="J148" i="325" s="1"/>
  <c r="D75" i="333"/>
  <c r="F110" i="333"/>
  <c r="I163" i="333"/>
  <c r="J163" i="333" s="1"/>
  <c r="D7" i="335"/>
  <c r="H27" i="335"/>
  <c r="I27" i="335" s="1"/>
  <c r="J27" i="335" s="1"/>
  <c r="I69" i="335"/>
  <c r="J69" i="335" s="1"/>
  <c r="K76" i="335"/>
  <c r="K75" i="335" s="1"/>
  <c r="I151" i="335"/>
  <c r="J151" i="335" s="1"/>
  <c r="I63" i="242"/>
  <c r="J63" i="242" s="1"/>
  <c r="D7" i="326"/>
  <c r="D75" i="326"/>
  <c r="K75" i="326"/>
  <c r="D110" i="326"/>
  <c r="H110" i="326"/>
  <c r="I110" i="326" s="1"/>
  <c r="J110" i="326" s="1"/>
  <c r="I114" i="326"/>
  <c r="J114" i="326" s="1"/>
  <c r="D117" i="326"/>
  <c r="I151" i="326"/>
  <c r="J151" i="326" s="1"/>
  <c r="I157" i="326"/>
  <c r="J157" i="326" s="1"/>
  <c r="K17" i="325"/>
  <c r="D110" i="325"/>
  <c r="I114" i="325"/>
  <c r="J114" i="325" s="1"/>
  <c r="F117" i="325"/>
  <c r="E75" i="333"/>
  <c r="D110" i="333"/>
  <c r="H110" i="333"/>
  <c r="I110" i="333" s="1"/>
  <c r="J110" i="333" s="1"/>
  <c r="I114" i="333"/>
  <c r="J114" i="333" s="1"/>
  <c r="I53" i="335"/>
  <c r="J53" i="335" s="1"/>
  <c r="E75" i="335"/>
  <c r="D110" i="335"/>
  <c r="I111" i="335"/>
  <c r="J111" i="335" s="1"/>
  <c r="I114" i="335"/>
  <c r="J114" i="335" s="1"/>
  <c r="C117" i="335"/>
  <c r="C166" i="335" s="1"/>
  <c r="I130" i="335"/>
  <c r="J130" i="335" s="1"/>
  <c r="K140" i="335"/>
  <c r="K138" i="335" s="1"/>
  <c r="I154" i="335"/>
  <c r="J154" i="335" s="1"/>
  <c r="D75" i="335"/>
  <c r="G45" i="333"/>
  <c r="I45" i="333" s="1"/>
  <c r="J45" i="333" s="1"/>
  <c r="E41" i="178"/>
  <c r="E28" i="268"/>
  <c r="E39" i="268" s="1"/>
  <c r="I237" i="330"/>
  <c r="J237" i="330" s="1"/>
  <c r="I224" i="330"/>
  <c r="H32" i="241"/>
  <c r="I32" i="241" s="1"/>
  <c r="J32" i="241" s="1"/>
  <c r="H44" i="241"/>
  <c r="I44" i="241" s="1"/>
  <c r="J44" i="241" s="1"/>
  <c r="I72" i="323"/>
  <c r="J72" i="323" s="1"/>
  <c r="I148" i="335"/>
  <c r="J148" i="335" s="1"/>
  <c r="I69" i="326"/>
  <c r="J69" i="326" s="1"/>
  <c r="K70" i="268"/>
  <c r="K74" i="268" s="1"/>
  <c r="E110" i="242"/>
  <c r="E117" i="242"/>
  <c r="I120" i="242"/>
  <c r="J120" i="242" s="1"/>
  <c r="H140" i="242"/>
  <c r="H138" i="242" s="1"/>
  <c r="I138" i="242" s="1"/>
  <c r="J138" i="242" s="1"/>
  <c r="D7" i="242"/>
  <c r="H8" i="242"/>
  <c r="I8" i="242" s="1"/>
  <c r="J8" i="242" s="1"/>
  <c r="H13" i="242"/>
  <c r="I13" i="242" s="1"/>
  <c r="J13" i="242" s="1"/>
  <c r="I69" i="242"/>
  <c r="J69" i="242" s="1"/>
  <c r="K76" i="242"/>
  <c r="K99" i="242"/>
  <c r="C110" i="242"/>
  <c r="G110" i="242"/>
  <c r="C7" i="242"/>
  <c r="G157" i="333"/>
  <c r="I157" i="333" s="1"/>
  <c r="J157" i="333" s="1"/>
  <c r="G118" i="333"/>
  <c r="I118" i="333" s="1"/>
  <c r="J118" i="333" s="1"/>
  <c r="G29" i="267"/>
  <c r="G33" i="267" s="1"/>
  <c r="I186" i="330"/>
  <c r="J186" i="330" s="1"/>
  <c r="B33" i="267"/>
  <c r="I9" i="241"/>
  <c r="J9" i="241" s="1"/>
  <c r="D10" i="241"/>
  <c r="I10" i="272"/>
  <c r="J10" i="272" s="1"/>
  <c r="H11" i="174"/>
  <c r="C18" i="267"/>
  <c r="F33" i="241"/>
  <c r="F7" i="174"/>
  <c r="B95" i="100"/>
  <c r="D39" i="268"/>
  <c r="I8" i="268"/>
  <c r="J8" i="268" s="1"/>
  <c r="D14" i="174"/>
  <c r="G49" i="318"/>
  <c r="G104" i="318" s="1"/>
  <c r="I231" i="324"/>
  <c r="I29" i="268" s="1"/>
  <c r="J29" i="268" s="1"/>
  <c r="G75" i="335"/>
  <c r="F7" i="326"/>
  <c r="I99" i="242"/>
  <c r="J99" i="242" s="1"/>
  <c r="H30" i="267"/>
  <c r="I30" i="267" s="1"/>
  <c r="F63" i="268"/>
  <c r="L21" i="175"/>
  <c r="E50" i="267"/>
  <c r="I20" i="269"/>
  <c r="J20" i="269" s="1"/>
  <c r="I43" i="269"/>
  <c r="J43" i="269" s="1"/>
  <c r="I26" i="269"/>
  <c r="J26" i="269" s="1"/>
  <c r="I29" i="269"/>
  <c r="J29" i="269" s="1"/>
  <c r="C52" i="269"/>
  <c r="G52" i="269"/>
  <c r="D32" i="269"/>
  <c r="D52" i="269"/>
  <c r="K52" i="269"/>
  <c r="G17" i="333"/>
  <c r="I17" i="333" s="1"/>
  <c r="J17" i="333" s="1"/>
  <c r="G38" i="333"/>
  <c r="I38" i="333" s="1"/>
  <c r="J38" i="333" s="1"/>
  <c r="G99" i="333"/>
  <c r="I99" i="333" s="1"/>
  <c r="J99" i="333" s="1"/>
  <c r="H117" i="333"/>
  <c r="I148" i="333"/>
  <c r="J148" i="333" s="1"/>
  <c r="G154" i="333"/>
  <c r="I154" i="333" s="1"/>
  <c r="J154" i="333" s="1"/>
  <c r="I220" i="324"/>
  <c r="I28" i="268" s="1"/>
  <c r="J28" i="268" s="1"/>
  <c r="H31" i="267"/>
  <c r="I31" i="267" s="1"/>
  <c r="I70" i="268"/>
  <c r="J70" i="268" s="1"/>
  <c r="H21" i="267"/>
  <c r="I21" i="267" s="1"/>
  <c r="H13" i="267"/>
  <c r="I13" i="267" s="1"/>
  <c r="I83" i="323"/>
  <c r="J83" i="323" s="1"/>
  <c r="H30" i="241"/>
  <c r="I30" i="241" s="1"/>
  <c r="J30" i="241" s="1"/>
  <c r="I101" i="330"/>
  <c r="J101" i="330" s="1"/>
  <c r="D31" i="183"/>
  <c r="O54" i="317"/>
  <c r="O56" i="317" s="1"/>
  <c r="P55" i="317" s="1"/>
  <c r="O65" i="317"/>
  <c r="F75" i="325"/>
  <c r="C39" i="241"/>
  <c r="B83" i="100"/>
  <c r="A1" i="177" s="1"/>
  <c r="B93" i="100"/>
  <c r="B99" i="100"/>
  <c r="D39" i="241"/>
  <c r="C39" i="272"/>
  <c r="I13" i="272"/>
  <c r="J13" i="272" s="1"/>
  <c r="H21" i="268"/>
  <c r="I13" i="268"/>
  <c r="J13" i="268" s="1"/>
  <c r="I16" i="268"/>
  <c r="J16" i="268" s="1"/>
  <c r="I20" i="268"/>
  <c r="J20" i="268" s="1"/>
  <c r="D10" i="174"/>
  <c r="I11" i="268"/>
  <c r="J11" i="268" s="1"/>
  <c r="G16" i="241"/>
  <c r="F16" i="241"/>
  <c r="C20" i="241"/>
  <c r="I47" i="241"/>
  <c r="J47" i="241" s="1"/>
  <c r="D21" i="268"/>
  <c r="I10" i="268"/>
  <c r="J10" i="268" s="1"/>
  <c r="I14" i="268"/>
  <c r="J14" i="268" s="1"/>
  <c r="I15" i="268"/>
  <c r="J15" i="268" s="1"/>
  <c r="I7" i="268"/>
  <c r="J7" i="268" s="1"/>
  <c r="F40" i="267"/>
  <c r="K7" i="335"/>
  <c r="J11" i="267"/>
  <c r="K32" i="269"/>
  <c r="G106" i="318"/>
  <c r="O2" i="317"/>
  <c r="B47" i="100"/>
  <c r="A1" i="331"/>
  <c r="B4" i="331"/>
  <c r="B8" i="331" s="1"/>
  <c r="A1" i="328"/>
  <c r="K45" i="241"/>
  <c r="K6" i="330"/>
  <c r="B2" i="100"/>
  <c r="B12" i="100"/>
  <c r="O3" i="317" s="1"/>
  <c r="B98" i="100"/>
  <c r="A242" i="324"/>
  <c r="A30" i="268"/>
  <c r="A12" i="268"/>
  <c r="A73" i="324"/>
  <c r="A240" i="323"/>
  <c r="A72" i="323"/>
  <c r="A30" i="272"/>
  <c r="A12" i="272"/>
  <c r="A286" i="324"/>
  <c r="A16" i="268"/>
  <c r="A34" i="268"/>
  <c r="A117" i="324"/>
  <c r="A284" i="323"/>
  <c r="A116" i="323"/>
  <c r="A34" i="272"/>
  <c r="A16" i="272"/>
  <c r="I28" i="330"/>
  <c r="J28" i="330" s="1"/>
  <c r="G27" i="330"/>
  <c r="K74" i="330"/>
  <c r="I37" i="241"/>
  <c r="J37" i="241" s="1"/>
  <c r="I28" i="323"/>
  <c r="J28" i="323" s="1"/>
  <c r="G8" i="272"/>
  <c r="G16" i="272"/>
  <c r="H160" i="323"/>
  <c r="H20" i="272" s="1"/>
  <c r="I161" i="323"/>
  <c r="J161" i="323" s="1"/>
  <c r="H185" i="323"/>
  <c r="H25" i="272" s="1"/>
  <c r="I25" i="272" s="1"/>
  <c r="J25" i="272" s="1"/>
  <c r="I186" i="323"/>
  <c r="J186" i="323" s="1"/>
  <c r="B3" i="100"/>
  <c r="B13" i="100"/>
  <c r="P3" i="317" s="1"/>
  <c r="B78" i="100"/>
  <c r="A1" i="323" s="1"/>
  <c r="B82" i="100"/>
  <c r="A8" i="268"/>
  <c r="A198" i="324"/>
  <c r="A29" i="324"/>
  <c r="A26" i="268"/>
  <c r="A196" i="323"/>
  <c r="A28" i="323"/>
  <c r="A26" i="272"/>
  <c r="A220" i="324"/>
  <c r="A10" i="268"/>
  <c r="A28" i="268"/>
  <c r="A51" i="324"/>
  <c r="A218" i="323"/>
  <c r="A28" i="272"/>
  <c r="A10" i="272"/>
  <c r="A264" i="324"/>
  <c r="A14" i="268"/>
  <c r="A95" i="324"/>
  <c r="A32" i="268"/>
  <c r="A262" i="323"/>
  <c r="A94" i="323"/>
  <c r="A14" i="272"/>
  <c r="H10" i="330"/>
  <c r="H8" i="241" s="1"/>
  <c r="I8" i="241" s="1"/>
  <c r="J8" i="241" s="1"/>
  <c r="I14" i="330"/>
  <c r="J14" i="330" s="1"/>
  <c r="H50" i="330"/>
  <c r="H12" i="241" s="1"/>
  <c r="I12" i="241" s="1"/>
  <c r="J12" i="241" s="1"/>
  <c r="I51" i="330"/>
  <c r="J51" i="330" s="1"/>
  <c r="I152" i="330"/>
  <c r="J152" i="330" s="1"/>
  <c r="H151" i="330"/>
  <c r="H34" i="241" s="1"/>
  <c r="I34" i="241" s="1"/>
  <c r="J34" i="241" s="1"/>
  <c r="G39" i="272"/>
  <c r="H127" i="323"/>
  <c r="I128" i="323"/>
  <c r="J128" i="323" s="1"/>
  <c r="B4" i="100"/>
  <c r="B97" i="100"/>
  <c r="A6" i="268"/>
  <c r="A7" i="324"/>
  <c r="A24" i="268"/>
  <c r="A176" i="324"/>
  <c r="A174" i="323"/>
  <c r="A6" i="323"/>
  <c r="A319" i="324"/>
  <c r="A150" i="324"/>
  <c r="A317" i="323"/>
  <c r="A19" i="268"/>
  <c r="A37" i="268"/>
  <c r="A19" i="272"/>
  <c r="A149" i="323"/>
  <c r="A37" i="272"/>
  <c r="G6" i="241"/>
  <c r="G33" i="241"/>
  <c r="H133" i="330"/>
  <c r="K133" i="330"/>
  <c r="F223" i="330"/>
  <c r="F47" i="241"/>
  <c r="F43" i="241" s="1"/>
  <c r="G48" i="241"/>
  <c r="F21" i="272"/>
  <c r="C171" i="323"/>
  <c r="C6" i="272"/>
  <c r="C21" i="272" s="1"/>
  <c r="A50" i="323"/>
  <c r="H105" i="323"/>
  <c r="I106" i="323"/>
  <c r="J106" i="323" s="1"/>
  <c r="G20" i="272"/>
  <c r="B14" i="100"/>
  <c r="Q3" i="317" s="1"/>
  <c r="B77" i="100"/>
  <c r="A1" i="267" s="1"/>
  <c r="B81" i="100"/>
  <c r="A1" i="268" s="1"/>
  <c r="B94" i="100"/>
  <c r="G74" i="330"/>
  <c r="H86" i="330"/>
  <c r="I86" i="330" s="1"/>
  <c r="J86" i="330" s="1"/>
  <c r="K101" i="330"/>
  <c r="K151" i="330"/>
  <c r="I190" i="330"/>
  <c r="J190" i="330" s="1"/>
  <c r="H189" i="330"/>
  <c r="K216" i="330"/>
  <c r="K42" i="241" s="1"/>
  <c r="G171" i="323"/>
  <c r="G6" i="272"/>
  <c r="X38" i="329"/>
  <c r="B80" i="100"/>
  <c r="A1" i="182" s="1"/>
  <c r="B96" i="100"/>
  <c r="A18" i="324"/>
  <c r="A7" i="268"/>
  <c r="A187" i="324"/>
  <c r="A25" i="268"/>
  <c r="A185" i="323"/>
  <c r="A7" i="272"/>
  <c r="A17" i="323"/>
  <c r="A40" i="324"/>
  <c r="A27" i="268"/>
  <c r="A209" i="324"/>
  <c r="A9" i="268"/>
  <c r="A207" i="323"/>
  <c r="A27" i="272"/>
  <c r="A9" i="272"/>
  <c r="A39" i="323"/>
  <c r="A231" i="324"/>
  <c r="A62" i="324"/>
  <c r="A29" i="268"/>
  <c r="A11" i="268"/>
  <c r="A229" i="323"/>
  <c r="A61" i="323"/>
  <c r="A11" i="272"/>
  <c r="A253" i="324"/>
  <c r="A84" i="324"/>
  <c r="A31" i="268"/>
  <c r="A13" i="268"/>
  <c r="A251" i="323"/>
  <c r="A31" i="272"/>
  <c r="A275" i="324"/>
  <c r="A106" i="324"/>
  <c r="A33" i="268"/>
  <c r="A15" i="268"/>
  <c r="A273" i="323"/>
  <c r="A15" i="272"/>
  <c r="A105" i="323"/>
  <c r="A33" i="272"/>
  <c r="B18" i="267"/>
  <c r="B19" i="267" s="1"/>
  <c r="C6" i="241"/>
  <c r="F12" i="241"/>
  <c r="F10" i="241" s="1"/>
  <c r="C29" i="241"/>
  <c r="D31" i="241"/>
  <c r="D29" i="241" s="1"/>
  <c r="G39" i="241"/>
  <c r="I25" i="330"/>
  <c r="J25" i="330" s="1"/>
  <c r="G6" i="330"/>
  <c r="H66" i="330"/>
  <c r="H105" i="330"/>
  <c r="H22" i="241" s="1"/>
  <c r="I22" i="241" s="1"/>
  <c r="J22" i="241" s="1"/>
  <c r="I106" i="330"/>
  <c r="J106" i="330" s="1"/>
  <c r="C150" i="330"/>
  <c r="C34" i="241"/>
  <c r="C33" i="241" s="1"/>
  <c r="G150" i="330"/>
  <c r="I180" i="330"/>
  <c r="J180" i="330" s="1"/>
  <c r="H179" i="330"/>
  <c r="H198" i="330"/>
  <c r="I202" i="330"/>
  <c r="J202" i="330" s="1"/>
  <c r="E223" i="330"/>
  <c r="E44" i="241"/>
  <c r="E43" i="241" s="1"/>
  <c r="A8" i="272"/>
  <c r="A29" i="272"/>
  <c r="K6" i="272"/>
  <c r="K50" i="323"/>
  <c r="K10" i="272" s="1"/>
  <c r="H229" i="323"/>
  <c r="H29" i="272" s="1"/>
  <c r="I29" i="272" s="1"/>
  <c r="J29" i="272" s="1"/>
  <c r="I230" i="323"/>
  <c r="J230" i="323" s="1"/>
  <c r="A308" i="324"/>
  <c r="A18" i="268"/>
  <c r="A36" i="268"/>
  <c r="A139" i="324"/>
  <c r="A306" i="323"/>
  <c r="A138" i="323"/>
  <c r="A36" i="272"/>
  <c r="A18" i="272"/>
  <c r="A330" i="324"/>
  <c r="A161" i="324"/>
  <c r="A20" i="268"/>
  <c r="A38" i="268"/>
  <c r="A328" i="323"/>
  <c r="A160" i="323"/>
  <c r="A38" i="272"/>
  <c r="A20" i="272"/>
  <c r="C11" i="267"/>
  <c r="C19" i="267"/>
  <c r="G18" i="267"/>
  <c r="G19" i="267" s="1"/>
  <c r="C11" i="241"/>
  <c r="C10" i="241" s="1"/>
  <c r="G11" i="241"/>
  <c r="D24" i="241"/>
  <c r="D20" i="241" s="1"/>
  <c r="H24" i="241"/>
  <c r="I24" i="241" s="1"/>
  <c r="J24" i="241" s="1"/>
  <c r="F7" i="241"/>
  <c r="F6" i="241" s="1"/>
  <c r="F6" i="330"/>
  <c r="I63" i="330"/>
  <c r="J63" i="330" s="1"/>
  <c r="F100" i="330"/>
  <c r="F22" i="241"/>
  <c r="F20" i="241" s="1"/>
  <c r="I119" i="330"/>
  <c r="J119" i="330" s="1"/>
  <c r="G25" i="241"/>
  <c r="I25" i="241" s="1"/>
  <c r="J25" i="241" s="1"/>
  <c r="D150" i="330"/>
  <c r="D35" i="241"/>
  <c r="D33" i="241" s="1"/>
  <c r="H173" i="330"/>
  <c r="H35" i="241" s="1"/>
  <c r="I35" i="241" s="1"/>
  <c r="J35" i="241" s="1"/>
  <c r="F197" i="330"/>
  <c r="F40" i="241"/>
  <c r="F39" i="241" s="1"/>
  <c r="H216" i="330"/>
  <c r="I218" i="330"/>
  <c r="J218" i="330" s="1"/>
  <c r="G45" i="241"/>
  <c r="I45" i="241" s="1"/>
  <c r="J45" i="241" s="1"/>
  <c r="I228" i="330"/>
  <c r="J228" i="330" s="1"/>
  <c r="G223" i="330"/>
  <c r="A6" i="272"/>
  <c r="A24" i="272"/>
  <c r="F39" i="272"/>
  <c r="A32" i="272"/>
  <c r="A83" i="323"/>
  <c r="G18" i="272"/>
  <c r="H149" i="323"/>
  <c r="I150" i="323"/>
  <c r="J150" i="323" s="1"/>
  <c r="B11" i="267"/>
  <c r="H7" i="267"/>
  <c r="I7" i="267" s="1"/>
  <c r="G11" i="267"/>
  <c r="D7" i="241"/>
  <c r="D6" i="241" s="1"/>
  <c r="H7" i="241"/>
  <c r="I7" i="241" s="1"/>
  <c r="J7" i="241" s="1"/>
  <c r="E16" i="241"/>
  <c r="C100" i="330"/>
  <c r="E29" i="241"/>
  <c r="H242" i="330"/>
  <c r="H48" i="241" s="1"/>
  <c r="I14" i="272"/>
  <c r="J14" i="272" s="1"/>
  <c r="A35" i="272"/>
  <c r="H6" i="323"/>
  <c r="H6" i="272" s="1"/>
  <c r="I11" i="272"/>
  <c r="J11" i="272" s="1"/>
  <c r="I94" i="323"/>
  <c r="J94" i="323" s="1"/>
  <c r="H116" i="323"/>
  <c r="H16" i="272" s="1"/>
  <c r="H138" i="323"/>
  <c r="H18" i="272" s="1"/>
  <c r="H218" i="323"/>
  <c r="I219" i="323"/>
  <c r="J219" i="323" s="1"/>
  <c r="H262" i="323"/>
  <c r="I263" i="323"/>
  <c r="J263" i="323" s="1"/>
  <c r="I12" i="272"/>
  <c r="J12" i="272" s="1"/>
  <c r="H207" i="323"/>
  <c r="H27" i="272" s="1"/>
  <c r="I27" i="272" s="1"/>
  <c r="J27" i="272" s="1"/>
  <c r="I208" i="323"/>
  <c r="J208" i="323" s="1"/>
  <c r="H251" i="323"/>
  <c r="H31" i="272" s="1"/>
  <c r="I31" i="272" s="1"/>
  <c r="J31" i="272" s="1"/>
  <c r="I252" i="323"/>
  <c r="J252" i="323" s="1"/>
  <c r="H55" i="174"/>
  <c r="H27" i="174" s="1"/>
  <c r="K53" i="182"/>
  <c r="A297" i="324"/>
  <c r="A295" i="323"/>
  <c r="A128" i="324"/>
  <c r="A17" i="268"/>
  <c r="A35" i="268"/>
  <c r="H12" i="267"/>
  <c r="I12" i="267" s="1"/>
  <c r="H16" i="267"/>
  <c r="I16" i="267" s="1"/>
  <c r="H17" i="267"/>
  <c r="I17" i="267" s="1"/>
  <c r="I23" i="241"/>
  <c r="J23" i="241" s="1"/>
  <c r="C44" i="241"/>
  <c r="C43" i="241" s="1"/>
  <c r="I109" i="330"/>
  <c r="J109" i="330" s="1"/>
  <c r="H209" i="330"/>
  <c r="H232" i="330"/>
  <c r="H223" i="330" s="1"/>
  <c r="A17" i="272"/>
  <c r="F171" i="323"/>
  <c r="C339" i="323"/>
  <c r="G339" i="323"/>
  <c r="H196" i="323"/>
  <c r="I197" i="323"/>
  <c r="J197" i="323" s="1"/>
  <c r="H240" i="323"/>
  <c r="I241" i="323"/>
  <c r="J241" i="323" s="1"/>
  <c r="H273" i="323"/>
  <c r="H33" i="272" s="1"/>
  <c r="I33" i="272" s="1"/>
  <c r="J33" i="272" s="1"/>
  <c r="I274" i="323"/>
  <c r="J274" i="323" s="1"/>
  <c r="H174" i="323"/>
  <c r="I174" i="323" s="1"/>
  <c r="J174" i="323" s="1"/>
  <c r="I285" i="323"/>
  <c r="J285" i="323" s="1"/>
  <c r="H295" i="323"/>
  <c r="H35" i="272" s="1"/>
  <c r="I35" i="272" s="1"/>
  <c r="J35" i="272" s="1"/>
  <c r="I307" i="323"/>
  <c r="J307" i="323" s="1"/>
  <c r="D53" i="182"/>
  <c r="C6" i="268"/>
  <c r="C21" i="268" s="1"/>
  <c r="G6" i="268"/>
  <c r="K6" i="268"/>
  <c r="K21" i="268" s="1"/>
  <c r="I53" i="268"/>
  <c r="J53" i="268" s="1"/>
  <c r="I57" i="268"/>
  <c r="J57" i="268" s="1"/>
  <c r="C209" i="324"/>
  <c r="C27" i="268" s="1"/>
  <c r="C39" i="268" s="1"/>
  <c r="K209" i="324"/>
  <c r="K27" i="268" s="1"/>
  <c r="C49" i="334"/>
  <c r="E49" i="334"/>
  <c r="C106" i="318"/>
  <c r="K99" i="318" s="1"/>
  <c r="K100" i="318" s="1"/>
  <c r="I7" i="324"/>
  <c r="J7" i="324" s="1"/>
  <c r="K39" i="177"/>
  <c r="K41" i="177" s="1"/>
  <c r="J46" i="267" s="1"/>
  <c r="J25" i="182"/>
  <c r="K36" i="182"/>
  <c r="E6" i="268"/>
  <c r="E21" i="268" s="1"/>
  <c r="E7" i="174"/>
  <c r="K31" i="318"/>
  <c r="E28" i="174"/>
  <c r="E26" i="174"/>
  <c r="E27" i="174"/>
  <c r="E17" i="174"/>
  <c r="D38" i="182"/>
  <c r="D42" i="182" s="1"/>
  <c r="D44" i="182" s="1"/>
  <c r="D46" i="182" s="1"/>
  <c r="D48" i="182" s="1"/>
  <c r="K15" i="318"/>
  <c r="D49" i="318"/>
  <c r="D47" i="318"/>
  <c r="K264" i="324"/>
  <c r="K32" i="268" s="1"/>
  <c r="G25" i="178"/>
  <c r="J37" i="267" s="1"/>
  <c r="G35" i="178"/>
  <c r="G40" i="178"/>
  <c r="J39" i="267" s="1"/>
  <c r="I37" i="177"/>
  <c r="J37" i="177" s="1"/>
  <c r="E53" i="174"/>
  <c r="E14" i="174" s="1"/>
  <c r="H61" i="174"/>
  <c r="E26" i="175"/>
  <c r="E27" i="175" s="1"/>
  <c r="I26" i="175"/>
  <c r="I27" i="175" s="1"/>
  <c r="D26" i="175"/>
  <c r="D27" i="175" s="1"/>
  <c r="H26" i="175"/>
  <c r="H27" i="175" s="1"/>
  <c r="H32" i="269"/>
  <c r="A35" i="269"/>
  <c r="F52" i="269"/>
  <c r="G8" i="334"/>
  <c r="G27" i="334"/>
  <c r="F31" i="334"/>
  <c r="G46" i="334"/>
  <c r="I56" i="318"/>
  <c r="J56" i="318" s="1"/>
  <c r="E52" i="317"/>
  <c r="E65" i="317"/>
  <c r="I76" i="326"/>
  <c r="J76" i="326" s="1"/>
  <c r="K253" i="324"/>
  <c r="K31" i="268" s="1"/>
  <c r="H18" i="177"/>
  <c r="G43" i="267" s="1"/>
  <c r="H43" i="267" s="1"/>
  <c r="I43" i="267" s="1"/>
  <c r="G38" i="174"/>
  <c r="H43" i="174"/>
  <c r="G11" i="174"/>
  <c r="L14" i="175"/>
  <c r="A49" i="269"/>
  <c r="E15" i="318"/>
  <c r="D84" i="318"/>
  <c r="K220" i="324"/>
  <c r="K28" i="268" s="1"/>
  <c r="I242" i="324"/>
  <c r="J242" i="324" s="1"/>
  <c r="I275" i="324"/>
  <c r="J275" i="324" s="1"/>
  <c r="K275" i="324"/>
  <c r="K33" i="268" s="1"/>
  <c r="C13" i="178"/>
  <c r="G13" i="178"/>
  <c r="D26" i="178"/>
  <c r="K14" i="175"/>
  <c r="F26" i="175"/>
  <c r="F27" i="175" s="1"/>
  <c r="J26" i="175"/>
  <c r="J27" i="175" s="1"/>
  <c r="F32" i="269"/>
  <c r="H52" i="269"/>
  <c r="A46" i="269"/>
  <c r="F16" i="334"/>
  <c r="G16" i="334" s="1"/>
  <c r="D106" i="318"/>
  <c r="K46" i="318"/>
  <c r="K47" i="318" s="1"/>
  <c r="C102" i="318"/>
  <c r="G65" i="317"/>
  <c r="G52" i="317"/>
  <c r="K65" i="317"/>
  <c r="K52" i="317"/>
  <c r="K54" i="317" s="1"/>
  <c r="K66" i="317" s="1"/>
  <c r="P65" i="317"/>
  <c r="P52" i="317"/>
  <c r="P54" i="317" s="1"/>
  <c r="F40" i="178"/>
  <c r="F39" i="267" s="1"/>
  <c r="E47" i="318"/>
  <c r="F38" i="181"/>
  <c r="F42" i="181" s="1"/>
  <c r="F44" i="181" s="1"/>
  <c r="I19" i="183"/>
  <c r="J19" i="183" s="1"/>
  <c r="I29" i="183"/>
  <c r="J29" i="183" s="1"/>
  <c r="F7" i="180"/>
  <c r="H114" i="242"/>
  <c r="I143" i="242"/>
  <c r="J143" i="242" s="1"/>
  <c r="I154" i="242"/>
  <c r="J154" i="242" s="1"/>
  <c r="H8" i="326"/>
  <c r="I8" i="326" s="1"/>
  <c r="J8" i="326" s="1"/>
  <c r="H13" i="326"/>
  <c r="I13" i="326" s="1"/>
  <c r="J13" i="326" s="1"/>
  <c r="H99" i="326"/>
  <c r="I99" i="326" s="1"/>
  <c r="J99" i="326" s="1"/>
  <c r="H103" i="326"/>
  <c r="I103" i="326" s="1"/>
  <c r="J103" i="326" s="1"/>
  <c r="I111" i="326"/>
  <c r="J111" i="326" s="1"/>
  <c r="F117" i="326"/>
  <c r="G138" i="326"/>
  <c r="I138" i="326" s="1"/>
  <c r="J138" i="326" s="1"/>
  <c r="H17" i="325"/>
  <c r="I17" i="325" s="1"/>
  <c r="J17" i="325" s="1"/>
  <c r="I39" i="325"/>
  <c r="J39" i="325" s="1"/>
  <c r="H38" i="325"/>
  <c r="I38" i="325" s="1"/>
  <c r="J38" i="325" s="1"/>
  <c r="K38" i="325"/>
  <c r="K7" i="325" s="1"/>
  <c r="H45" i="325"/>
  <c r="I45" i="325" s="1"/>
  <c r="J45" i="325" s="1"/>
  <c r="H103" i="325"/>
  <c r="I103" i="325" s="1"/>
  <c r="J103" i="325" s="1"/>
  <c r="H118" i="325"/>
  <c r="H117" i="325" s="1"/>
  <c r="K118" i="325"/>
  <c r="K117" i="325" s="1"/>
  <c r="C166" i="333"/>
  <c r="E7" i="326"/>
  <c r="E75" i="326"/>
  <c r="I102" i="325"/>
  <c r="J102" i="325" s="1"/>
  <c r="H99" i="325"/>
  <c r="I99" i="325" s="1"/>
  <c r="J99" i="325" s="1"/>
  <c r="I22" i="181"/>
  <c r="J22" i="181" s="1"/>
  <c r="I6" i="180"/>
  <c r="G8" i="180"/>
  <c r="B18" i="180"/>
  <c r="I151" i="242"/>
  <c r="J151" i="242" s="1"/>
  <c r="I17" i="326"/>
  <c r="J17" i="326" s="1"/>
  <c r="H118" i="326"/>
  <c r="I118" i="326" s="1"/>
  <c r="J118" i="326" s="1"/>
  <c r="I27" i="325"/>
  <c r="J27" i="325" s="1"/>
  <c r="I28" i="325"/>
  <c r="J28" i="325" s="1"/>
  <c r="K103" i="325"/>
  <c r="I16" i="183"/>
  <c r="J16" i="183" s="1"/>
  <c r="J6" i="180"/>
  <c r="I8" i="325"/>
  <c r="J8" i="325" s="1"/>
  <c r="H110" i="325"/>
  <c r="I110" i="325" s="1"/>
  <c r="J110" i="325" s="1"/>
  <c r="I111" i="325"/>
  <c r="J111" i="325" s="1"/>
  <c r="I154" i="325"/>
  <c r="J154" i="325" s="1"/>
  <c r="I39" i="333"/>
  <c r="J39" i="333" s="1"/>
  <c r="I46" i="333"/>
  <c r="J46" i="333" s="1"/>
  <c r="G76" i="333"/>
  <c r="I76" i="333" s="1"/>
  <c r="J76" i="333" s="1"/>
  <c r="H75" i="333"/>
  <c r="I111" i="333"/>
  <c r="J111" i="333" s="1"/>
  <c r="F117" i="333"/>
  <c r="G138" i="333"/>
  <c r="I138" i="333" s="1"/>
  <c r="J138" i="333" s="1"/>
  <c r="H8" i="335"/>
  <c r="I8" i="335" s="1"/>
  <c r="J8" i="335" s="1"/>
  <c r="I151" i="325"/>
  <c r="J151" i="325" s="1"/>
  <c r="G27" i="333"/>
  <c r="I27" i="333" s="1"/>
  <c r="J27" i="333" s="1"/>
  <c r="G130" i="333"/>
  <c r="I130" i="333" s="1"/>
  <c r="J130" i="333" s="1"/>
  <c r="H17" i="335"/>
  <c r="I17" i="335" s="1"/>
  <c r="J17" i="335" s="1"/>
  <c r="H38" i="335"/>
  <c r="I38" i="335" s="1"/>
  <c r="J38" i="335" s="1"/>
  <c r="H45" i="335"/>
  <c r="I45" i="335" s="1"/>
  <c r="J45" i="335" s="1"/>
  <c r="H110" i="335"/>
  <c r="I110" i="335" s="1"/>
  <c r="J110" i="335" s="1"/>
  <c r="F75" i="335"/>
  <c r="H103" i="335"/>
  <c r="I103" i="335" s="1"/>
  <c r="J103" i="335" s="1"/>
  <c r="G117" i="335"/>
  <c r="H138" i="335"/>
  <c r="I138" i="335" s="1"/>
  <c r="J138" i="335" s="1"/>
  <c r="H44" i="267"/>
  <c r="I44" i="267" s="1"/>
  <c r="G39" i="177"/>
  <c r="G41" i="177" s="1"/>
  <c r="I28" i="177"/>
  <c r="J28" i="177" s="1"/>
  <c r="H45" i="267"/>
  <c r="I45" i="267" s="1"/>
  <c r="K15" i="173"/>
  <c r="F33" i="178" s="1"/>
  <c r="C78" i="172"/>
  <c r="B78" i="172" s="1"/>
  <c r="C26" i="175"/>
  <c r="C27" i="175" s="1"/>
  <c r="G26" i="175"/>
  <c r="G27" i="175" s="1"/>
  <c r="D53" i="172"/>
  <c r="H53" i="172"/>
  <c r="B53" i="172"/>
  <c r="F53" i="172"/>
  <c r="N46" i="317"/>
  <c r="N52" i="317" s="1"/>
  <c r="F39" i="177"/>
  <c r="A1" i="241"/>
  <c r="A1" i="330"/>
  <c r="A1" i="178"/>
  <c r="D64" i="100"/>
  <c r="A1" i="251"/>
  <c r="B61" i="100"/>
  <c r="J52" i="317"/>
  <c r="J54" i="317" s="1"/>
  <c r="J66" i="317" s="1"/>
  <c r="N21" i="317"/>
  <c r="N33" i="317" s="1"/>
  <c r="E43" i="267"/>
  <c r="F106" i="318"/>
  <c r="I46" i="318"/>
  <c r="J46" i="318" s="1"/>
  <c r="J31" i="182"/>
  <c r="E18" i="267"/>
  <c r="E19" i="267" s="1"/>
  <c r="H9" i="267"/>
  <c r="I9" i="267" s="1"/>
  <c r="H10" i="267"/>
  <c r="I10" i="267" s="1"/>
  <c r="F11" i="267"/>
  <c r="G38" i="182"/>
  <c r="G42" i="182" s="1"/>
  <c r="G44" i="182" s="1"/>
  <c r="G46" i="182" s="1"/>
  <c r="G48" i="182" s="1"/>
  <c r="E11" i="267"/>
  <c r="G27" i="174"/>
  <c r="G26" i="174"/>
  <c r="G28" i="174"/>
  <c r="H6" i="267"/>
  <c r="I6" i="267" s="1"/>
  <c r="G53" i="182"/>
  <c r="F38" i="182"/>
  <c r="F42" i="182" s="1"/>
  <c r="F44" i="182" s="1"/>
  <c r="F46" i="182" s="1"/>
  <c r="F48" i="182" s="1"/>
  <c r="I264" i="324"/>
  <c r="I32" i="268" s="1"/>
  <c r="I253" i="324"/>
  <c r="J253" i="324" s="1"/>
  <c r="F341" i="324"/>
  <c r="F343" i="324" s="1"/>
  <c r="G341" i="324"/>
  <c r="G33" i="268"/>
  <c r="F27" i="268"/>
  <c r="F39" i="268" s="1"/>
  <c r="F40" i="268" s="1"/>
  <c r="E28" i="267" s="1"/>
  <c r="G27" i="268"/>
  <c r="I209" i="324"/>
  <c r="I27" i="268" s="1"/>
  <c r="J27" i="268" s="1"/>
  <c r="H32" i="267"/>
  <c r="I32" i="267" s="1"/>
  <c r="F33" i="267"/>
  <c r="E33" i="267"/>
  <c r="F74" i="268"/>
  <c r="G74" i="268"/>
  <c r="I74" i="268" s="1"/>
  <c r="J74" i="268" s="1"/>
  <c r="G63" i="268"/>
  <c r="I76" i="242"/>
  <c r="J76" i="242" s="1"/>
  <c r="I45" i="242"/>
  <c r="J45" i="242" s="1"/>
  <c r="G7" i="326"/>
  <c r="I27" i="326"/>
  <c r="J27" i="326" s="1"/>
  <c r="I148" i="242"/>
  <c r="J148" i="242" s="1"/>
  <c r="I157" i="242"/>
  <c r="J157" i="242" s="1"/>
  <c r="I103" i="242"/>
  <c r="J103" i="242" s="1"/>
  <c r="G7" i="335"/>
  <c r="F7" i="335"/>
  <c r="I38" i="326"/>
  <c r="J38" i="326" s="1"/>
  <c r="I38" i="242"/>
  <c r="J38" i="242" s="1"/>
  <c r="G7" i="242"/>
  <c r="I27" i="242"/>
  <c r="J27" i="242" s="1"/>
  <c r="I17" i="242"/>
  <c r="J17" i="242" s="1"/>
  <c r="F7" i="242"/>
  <c r="C39" i="177"/>
  <c r="C41" i="177" s="1"/>
  <c r="B46" i="267" s="1"/>
  <c r="E7" i="335"/>
  <c r="G151" i="333"/>
  <c r="I151" i="333" s="1"/>
  <c r="J151" i="333" s="1"/>
  <c r="I149" i="333"/>
  <c r="J149" i="333" s="1"/>
  <c r="G69" i="333"/>
  <c r="I69" i="333" s="1"/>
  <c r="J69" i="333" s="1"/>
  <c r="G13" i="333"/>
  <c r="I13" i="333" s="1"/>
  <c r="J13" i="333" s="1"/>
  <c r="G8" i="333"/>
  <c r="I8" i="333" s="1"/>
  <c r="J8" i="333" s="1"/>
  <c r="H7" i="333"/>
  <c r="E7" i="333"/>
  <c r="E75" i="325"/>
  <c r="I76" i="325"/>
  <c r="J76" i="325" s="1"/>
  <c r="E7" i="325"/>
  <c r="H117" i="242"/>
  <c r="H75" i="242"/>
  <c r="E7" i="242"/>
  <c r="H38" i="181"/>
  <c r="H42" i="181" s="1"/>
  <c r="E106" i="318"/>
  <c r="E102" i="318"/>
  <c r="E68" i="318"/>
  <c r="H49" i="318"/>
  <c r="I14" i="318"/>
  <c r="J14" i="318" s="1"/>
  <c r="E49" i="318"/>
  <c r="E39" i="177"/>
  <c r="E41" i="177" s="1"/>
  <c r="D46" i="267" s="1"/>
  <c r="F10" i="174"/>
  <c r="F11" i="174"/>
  <c r="F13" i="174"/>
  <c r="F14" i="174"/>
  <c r="E26" i="178"/>
  <c r="E43" i="178" s="1"/>
  <c r="E54" i="178" s="1"/>
  <c r="H32" i="268"/>
  <c r="I43" i="268"/>
  <c r="H22" i="267"/>
  <c r="I22" i="267" s="1"/>
  <c r="H14" i="267"/>
  <c r="I14" i="267" s="1"/>
  <c r="H15" i="267"/>
  <c r="I15" i="267" s="1"/>
  <c r="H8" i="267"/>
  <c r="I8" i="267" s="1"/>
  <c r="I22" i="182"/>
  <c r="J22" i="182" s="1"/>
  <c r="H38" i="182"/>
  <c r="H42" i="182" s="1"/>
  <c r="H44" i="182" s="1"/>
  <c r="H46" i="182" s="1"/>
  <c r="H48" i="182" s="1"/>
  <c r="D18" i="267"/>
  <c r="D19" i="267" s="1"/>
  <c r="D11" i="267"/>
  <c r="E339" i="323"/>
  <c r="E39" i="272"/>
  <c r="I61" i="323"/>
  <c r="J61" i="323" s="1"/>
  <c r="I50" i="323"/>
  <c r="J50" i="323" s="1"/>
  <c r="E21" i="272"/>
  <c r="E171" i="323"/>
  <c r="H9" i="272"/>
  <c r="I9" i="272" s="1"/>
  <c r="I39" i="323"/>
  <c r="J39" i="323" s="1"/>
  <c r="J224" i="330"/>
  <c r="E197" i="330"/>
  <c r="E40" i="241"/>
  <c r="E39" i="241" s="1"/>
  <c r="E150" i="330"/>
  <c r="E34" i="241"/>
  <c r="E33" i="241" s="1"/>
  <c r="E129" i="330"/>
  <c r="E100" i="330"/>
  <c r="E22" i="241"/>
  <c r="E20" i="241" s="1"/>
  <c r="E74" i="330"/>
  <c r="E10" i="241"/>
  <c r="E27" i="330"/>
  <c r="F18" i="267"/>
  <c r="I36" i="182"/>
  <c r="G45" i="174"/>
  <c r="G7" i="174" s="1"/>
  <c r="B43" i="267"/>
  <c r="D28" i="174"/>
  <c r="D27" i="174"/>
  <c r="D26" i="174"/>
  <c r="D17" i="174"/>
  <c r="C38" i="182"/>
  <c r="C42" i="182" s="1"/>
  <c r="C44" i="182" s="1"/>
  <c r="C46" i="182" s="1"/>
  <c r="C48" i="182" s="1"/>
  <c r="C53" i="182"/>
  <c r="E38" i="182"/>
  <c r="E42" i="182" s="1"/>
  <c r="E44" i="182" s="1"/>
  <c r="E46" i="182" s="1"/>
  <c r="E48" i="182" s="1"/>
  <c r="F55" i="174"/>
  <c r="I65" i="317"/>
  <c r="I54" i="317"/>
  <c r="I66" i="317" s="1"/>
  <c r="G117" i="325"/>
  <c r="G75" i="325"/>
  <c r="F7" i="325"/>
  <c r="G7" i="325"/>
  <c r="F75" i="333"/>
  <c r="F7" i="333"/>
  <c r="I18" i="333"/>
  <c r="J18" i="333" s="1"/>
  <c r="F31" i="183"/>
  <c r="G31" i="183"/>
  <c r="I30" i="318"/>
  <c r="J30" i="318" s="1"/>
  <c r="F49" i="318"/>
  <c r="F104" i="318" s="1"/>
  <c r="H102" i="318"/>
  <c r="I102" i="318" s="1"/>
  <c r="J102" i="318" s="1"/>
  <c r="I99" i="318"/>
  <c r="H106" i="318"/>
  <c r="F20" i="178" l="1"/>
  <c r="F25" i="178" s="1"/>
  <c r="F37" i="267" s="1"/>
  <c r="C40" i="272"/>
  <c r="H138" i="325"/>
  <c r="I138" i="325" s="1"/>
  <c r="J138" i="325" s="1"/>
  <c r="G54" i="317"/>
  <c r="G66" i="317" s="1"/>
  <c r="K43" i="241"/>
  <c r="I21" i="241"/>
  <c r="I140" i="242"/>
  <c r="J140" i="242" s="1"/>
  <c r="I50" i="330"/>
  <c r="J50" i="330" s="1"/>
  <c r="E166" i="335"/>
  <c r="H75" i="335"/>
  <c r="I75" i="335" s="1"/>
  <c r="J75" i="335" s="1"/>
  <c r="H31" i="183"/>
  <c r="C54" i="269"/>
  <c r="I172" i="324"/>
  <c r="J172" i="324" s="1"/>
  <c r="G54" i="269"/>
  <c r="J52" i="267"/>
  <c r="J50" i="267"/>
  <c r="G59" i="174"/>
  <c r="G17" i="174" s="1"/>
  <c r="K339" i="323"/>
  <c r="E54" i="317"/>
  <c r="I42" i="181"/>
  <c r="J42" i="181" s="1"/>
  <c r="F54" i="269"/>
  <c r="D166" i="242"/>
  <c r="C104" i="318"/>
  <c r="C126" i="330"/>
  <c r="C258" i="330" s="1"/>
  <c r="K24" i="272"/>
  <c r="D40" i="268"/>
  <c r="E46" i="174" s="1"/>
  <c r="E8" i="174" s="1"/>
  <c r="K16" i="241"/>
  <c r="F249" i="330"/>
  <c r="F259" i="330" s="1"/>
  <c r="E343" i="324"/>
  <c r="D56" i="317"/>
  <c r="E55" i="317" s="1"/>
  <c r="G166" i="242"/>
  <c r="F166" i="242"/>
  <c r="I75" i="242"/>
  <c r="J75" i="242" s="1"/>
  <c r="C166" i="242"/>
  <c r="F166" i="325"/>
  <c r="F46" i="267"/>
  <c r="F7" i="178"/>
  <c r="K54" i="269"/>
  <c r="K166" i="335"/>
  <c r="E166" i="333"/>
  <c r="K7" i="326"/>
  <c r="K166" i="326" s="1"/>
  <c r="C166" i="326"/>
  <c r="D166" i="326"/>
  <c r="N65" i="317"/>
  <c r="I151" i="330"/>
  <c r="J151" i="330" s="1"/>
  <c r="C249" i="330"/>
  <c r="C259" i="330" s="1"/>
  <c r="K223" i="330"/>
  <c r="D249" i="330"/>
  <c r="D259" i="330" s="1"/>
  <c r="D126" i="330"/>
  <c r="D258" i="330" s="1"/>
  <c r="G126" i="330"/>
  <c r="G258" i="330" s="1"/>
  <c r="C341" i="324"/>
  <c r="C343" i="324" s="1"/>
  <c r="H26" i="268"/>
  <c r="J26" i="268" s="1"/>
  <c r="D343" i="324"/>
  <c r="K39" i="272"/>
  <c r="K171" i="323"/>
  <c r="D40" i="272"/>
  <c r="D341" i="323"/>
  <c r="I49" i="318"/>
  <c r="J49" i="318" s="1"/>
  <c r="E47" i="268"/>
  <c r="E63" i="268" s="1"/>
  <c r="H74" i="330"/>
  <c r="I74" i="330" s="1"/>
  <c r="J74" i="330" s="1"/>
  <c r="I75" i="330"/>
  <c r="J75" i="330" s="1"/>
  <c r="K26" i="175"/>
  <c r="K27" i="175" s="1"/>
  <c r="G166" i="335"/>
  <c r="O66" i="317"/>
  <c r="H29" i="267"/>
  <c r="I29" i="267" s="1"/>
  <c r="H27" i="330"/>
  <c r="I27" i="330" s="1"/>
  <c r="J27" i="330" s="1"/>
  <c r="I56" i="330"/>
  <c r="J56" i="330" s="1"/>
  <c r="I176" i="324"/>
  <c r="H24" i="268"/>
  <c r="I118" i="242"/>
  <c r="J118" i="242" s="1"/>
  <c r="H26" i="174"/>
  <c r="E40" i="268"/>
  <c r="D28" i="267" s="1"/>
  <c r="D166" i="335"/>
  <c r="D166" i="333"/>
  <c r="I284" i="323"/>
  <c r="J284" i="323" s="1"/>
  <c r="H341" i="324"/>
  <c r="H343" i="324" s="1"/>
  <c r="H39" i="177"/>
  <c r="H41" i="177" s="1"/>
  <c r="G46" i="267" s="1"/>
  <c r="I117" i="242"/>
  <c r="J117" i="242" s="1"/>
  <c r="H171" i="323"/>
  <c r="I171" i="323" s="1"/>
  <c r="J171" i="323" s="1"/>
  <c r="J198" i="324"/>
  <c r="I76" i="335"/>
  <c r="J76" i="335" s="1"/>
  <c r="I117" i="335"/>
  <c r="J117" i="335" s="1"/>
  <c r="F341" i="323"/>
  <c r="G249" i="330"/>
  <c r="G259" i="330" s="1"/>
  <c r="I160" i="323"/>
  <c r="J160" i="323" s="1"/>
  <c r="I8" i="272"/>
  <c r="J8" i="272" s="1"/>
  <c r="K11" i="241"/>
  <c r="K10" i="241" s="1"/>
  <c r="D166" i="325"/>
  <c r="K166" i="333"/>
  <c r="G166" i="326"/>
  <c r="E166" i="242"/>
  <c r="I118" i="335"/>
  <c r="J118" i="335" s="1"/>
  <c r="F166" i="335"/>
  <c r="G343" i="324"/>
  <c r="E166" i="326"/>
  <c r="I20" i="272"/>
  <c r="J20" i="272" s="1"/>
  <c r="I306" i="323"/>
  <c r="J306" i="323" s="1"/>
  <c r="H36" i="272"/>
  <c r="I36" i="272" s="1"/>
  <c r="J36" i="272" s="1"/>
  <c r="D49" i="334"/>
  <c r="I34" i="272"/>
  <c r="J34" i="272" s="1"/>
  <c r="I17" i="323"/>
  <c r="J17" i="323" s="1"/>
  <c r="I328" i="323"/>
  <c r="J328" i="323" s="1"/>
  <c r="J29" i="267"/>
  <c r="J33" i="267" s="1"/>
  <c r="G117" i="333"/>
  <c r="I117" i="333" s="1"/>
  <c r="J117" i="333" s="1"/>
  <c r="G75" i="333"/>
  <c r="I75" i="333" s="1"/>
  <c r="J75" i="333" s="1"/>
  <c r="E166" i="325"/>
  <c r="F39" i="174"/>
  <c r="H129" i="330"/>
  <c r="I10" i="330"/>
  <c r="J10" i="330" s="1"/>
  <c r="E249" i="330"/>
  <c r="E259" i="330" s="1"/>
  <c r="H7" i="242"/>
  <c r="I7" i="242" s="1"/>
  <c r="J7" i="242" s="1"/>
  <c r="H7" i="326"/>
  <c r="I7" i="326" s="1"/>
  <c r="J7" i="326" s="1"/>
  <c r="F166" i="326"/>
  <c r="J231" i="324"/>
  <c r="K75" i="242"/>
  <c r="K166" i="242" s="1"/>
  <c r="H117" i="326"/>
  <c r="I117" i="326" s="1"/>
  <c r="J117" i="326" s="1"/>
  <c r="I229" i="323"/>
  <c r="J229" i="323" s="1"/>
  <c r="I185" i="323"/>
  <c r="J185" i="323" s="1"/>
  <c r="H100" i="330"/>
  <c r="H18" i="241"/>
  <c r="I18" i="241" s="1"/>
  <c r="J18" i="241" s="1"/>
  <c r="H28" i="174"/>
  <c r="G39" i="268"/>
  <c r="I31" i="268"/>
  <c r="J31" i="268" s="1"/>
  <c r="I30" i="268"/>
  <c r="J30" i="268" s="1"/>
  <c r="J220" i="324"/>
  <c r="H75" i="325"/>
  <c r="I75" i="325" s="1"/>
  <c r="J75" i="325" s="1"/>
  <c r="I117" i="325"/>
  <c r="J117" i="325" s="1"/>
  <c r="D54" i="269"/>
  <c r="H7" i="335"/>
  <c r="I7" i="335" s="1"/>
  <c r="J7" i="335" s="1"/>
  <c r="G7" i="333"/>
  <c r="H166" i="333"/>
  <c r="J264" i="324"/>
  <c r="H54" i="269"/>
  <c r="I18" i="177"/>
  <c r="J18" i="177" s="1"/>
  <c r="H18" i="267"/>
  <c r="I18" i="267" s="1"/>
  <c r="G20" i="267"/>
  <c r="G23" i="267" s="1"/>
  <c r="G25" i="267" s="1"/>
  <c r="H11" i="267"/>
  <c r="I11" i="267" s="1"/>
  <c r="I251" i="323"/>
  <c r="J251" i="323" s="1"/>
  <c r="H150" i="330"/>
  <c r="I150" i="330" s="1"/>
  <c r="J150" i="330" s="1"/>
  <c r="I105" i="330"/>
  <c r="H6" i="330"/>
  <c r="I31" i="183"/>
  <c r="J31" i="183" s="1"/>
  <c r="K166" i="325"/>
  <c r="H33" i="267"/>
  <c r="I33" i="267" s="1"/>
  <c r="A1" i="272"/>
  <c r="A1" i="324"/>
  <c r="C20" i="267"/>
  <c r="C23" i="267" s="1"/>
  <c r="C25" i="267" s="1"/>
  <c r="K21" i="272"/>
  <c r="H20" i="241"/>
  <c r="C40" i="268"/>
  <c r="D46" i="174" s="1"/>
  <c r="D8" i="174" s="1"/>
  <c r="H17" i="174"/>
  <c r="I33" i="268"/>
  <c r="J33" i="268" s="1"/>
  <c r="K39" i="268"/>
  <c r="K40" i="268" s="1"/>
  <c r="J28" i="267" s="1"/>
  <c r="K341" i="324"/>
  <c r="K343" i="324" s="1"/>
  <c r="E66" i="317"/>
  <c r="I114" i="242"/>
  <c r="J114" i="242" s="1"/>
  <c r="H110" i="242"/>
  <c r="I110" i="242" s="1"/>
  <c r="J110" i="242" s="1"/>
  <c r="G31" i="334"/>
  <c r="F47" i="334"/>
  <c r="G47" i="334" s="1"/>
  <c r="H53" i="174"/>
  <c r="H14" i="174" s="1"/>
  <c r="G41" i="178"/>
  <c r="J38" i="267"/>
  <c r="K102" i="318"/>
  <c r="H45" i="174"/>
  <c r="H7" i="174" s="1"/>
  <c r="J18" i="267"/>
  <c r="J19" i="267" s="1"/>
  <c r="J20" i="267" s="1"/>
  <c r="J23" i="267" s="1"/>
  <c r="J25" i="267" s="1"/>
  <c r="K38" i="182"/>
  <c r="K42" i="182" s="1"/>
  <c r="K44" i="182" s="1"/>
  <c r="K46" i="182" s="1"/>
  <c r="K48" i="182" s="1"/>
  <c r="I262" i="323"/>
  <c r="J262" i="323" s="1"/>
  <c r="H32" i="272"/>
  <c r="I32" i="272" s="1"/>
  <c r="J32" i="272" s="1"/>
  <c r="I138" i="323"/>
  <c r="J138" i="323" s="1"/>
  <c r="I216" i="330"/>
  <c r="J216" i="330" s="1"/>
  <c r="H42" i="241"/>
  <c r="I42" i="241" s="1"/>
  <c r="J42" i="241" s="1"/>
  <c r="I273" i="323"/>
  <c r="J273" i="323" s="1"/>
  <c r="I6" i="272"/>
  <c r="J6" i="272" s="1"/>
  <c r="G21" i="272"/>
  <c r="G40" i="272" s="1"/>
  <c r="K150" i="330"/>
  <c r="K34" i="241"/>
  <c r="K33" i="241" s="1"/>
  <c r="B103" i="100"/>
  <c r="A26" i="172" s="1"/>
  <c r="B102" i="100"/>
  <c r="A1" i="172" s="1"/>
  <c r="K39" i="241"/>
  <c r="E26" i="241"/>
  <c r="I118" i="325"/>
  <c r="J118" i="325" s="1"/>
  <c r="B29" i="172"/>
  <c r="H7" i="180"/>
  <c r="I7" i="180" s="1"/>
  <c r="F8" i="180"/>
  <c r="J7" i="180"/>
  <c r="E39" i="174"/>
  <c r="D43" i="178"/>
  <c r="D54" i="178" s="1"/>
  <c r="D50" i="318"/>
  <c r="D104" i="318"/>
  <c r="D105" i="318" s="1"/>
  <c r="K106" i="318"/>
  <c r="E13" i="174"/>
  <c r="F28" i="334"/>
  <c r="I6" i="268"/>
  <c r="G21" i="268"/>
  <c r="H339" i="323"/>
  <c r="I339" i="323" s="1"/>
  <c r="J339" i="323" s="1"/>
  <c r="H24" i="272"/>
  <c r="H30" i="272"/>
  <c r="I30" i="272" s="1"/>
  <c r="J30" i="272" s="1"/>
  <c r="I240" i="323"/>
  <c r="J240" i="323" s="1"/>
  <c r="I232" i="330"/>
  <c r="H46" i="241"/>
  <c r="F126" i="330"/>
  <c r="G10" i="241"/>
  <c r="G26" i="241" s="1"/>
  <c r="I11" i="241"/>
  <c r="J11" i="241" s="1"/>
  <c r="I198" i="330"/>
  <c r="J198" i="330" s="1"/>
  <c r="H197" i="330"/>
  <c r="I197" i="330" s="1"/>
  <c r="J197" i="330" s="1"/>
  <c r="H40" i="241"/>
  <c r="I173" i="330"/>
  <c r="J173" i="330" s="1"/>
  <c r="D49" i="241"/>
  <c r="I6" i="323"/>
  <c r="J6" i="323" s="1"/>
  <c r="F40" i="272"/>
  <c r="H6" i="241"/>
  <c r="I6" i="241" s="1"/>
  <c r="J6" i="241" s="1"/>
  <c r="I16" i="272"/>
  <c r="J16" i="272" s="1"/>
  <c r="K197" i="330"/>
  <c r="A54" i="172"/>
  <c r="A103" i="172" s="1"/>
  <c r="B77" i="172"/>
  <c r="C2" i="335"/>
  <c r="C2" i="333"/>
  <c r="B2" i="180"/>
  <c r="B2" i="172" s="1"/>
  <c r="C2" i="183"/>
  <c r="C2" i="325"/>
  <c r="C2" i="326"/>
  <c r="C2" i="242"/>
  <c r="C2" i="269"/>
  <c r="C3" i="334"/>
  <c r="C2" i="270"/>
  <c r="C2" i="181"/>
  <c r="C2" i="318"/>
  <c r="C2" i="177"/>
  <c r="A15" i="175"/>
  <c r="D2" i="174"/>
  <c r="C2" i="178"/>
  <c r="C2" i="324"/>
  <c r="C2" i="182"/>
  <c r="C2" i="268"/>
  <c r="C2" i="323"/>
  <c r="C2" i="330"/>
  <c r="B2" i="267"/>
  <c r="C2" i="272"/>
  <c r="C2" i="241"/>
  <c r="H7" i="325"/>
  <c r="I7" i="325" s="1"/>
  <c r="J7" i="325" s="1"/>
  <c r="P66" i="317"/>
  <c r="P56" i="317"/>
  <c r="Q55" i="317" s="1"/>
  <c r="Q56" i="317" s="1"/>
  <c r="G26" i="178"/>
  <c r="H52" i="174"/>
  <c r="J36" i="267"/>
  <c r="H75" i="326"/>
  <c r="I75" i="326" s="1"/>
  <c r="J75" i="326" s="1"/>
  <c r="K49" i="318"/>
  <c r="I209" i="330"/>
  <c r="J209" i="330" s="1"/>
  <c r="H41" i="241"/>
  <c r="I41" i="241" s="1"/>
  <c r="J41" i="241" s="1"/>
  <c r="I218" i="323"/>
  <c r="J218" i="323" s="1"/>
  <c r="H28" i="272"/>
  <c r="I28" i="272" s="1"/>
  <c r="J28" i="272" s="1"/>
  <c r="B20" i="267"/>
  <c r="B23" i="267" s="1"/>
  <c r="B25" i="267" s="1"/>
  <c r="H19" i="272"/>
  <c r="I19" i="272" s="1"/>
  <c r="J19" i="272" s="1"/>
  <c r="I149" i="323"/>
  <c r="J149" i="323" s="1"/>
  <c r="F49" i="241"/>
  <c r="F26" i="241"/>
  <c r="C49" i="241"/>
  <c r="G341" i="323"/>
  <c r="I189" i="330"/>
  <c r="J189" i="330" s="1"/>
  <c r="H38" i="241"/>
  <c r="I38" i="241" s="1"/>
  <c r="J38" i="241" s="1"/>
  <c r="I207" i="323"/>
  <c r="J207" i="323" s="1"/>
  <c r="H15" i="272"/>
  <c r="I15" i="272" s="1"/>
  <c r="J15" i="272" s="1"/>
  <c r="I105" i="323"/>
  <c r="J105" i="323" s="1"/>
  <c r="C341" i="323"/>
  <c r="I48" i="241"/>
  <c r="J48" i="241" s="1"/>
  <c r="K129" i="330"/>
  <c r="K31" i="241"/>
  <c r="K29" i="241" s="1"/>
  <c r="H17" i="272"/>
  <c r="I17" i="272" s="1"/>
  <c r="J17" i="272" s="1"/>
  <c r="I127" i="323"/>
  <c r="J127" i="323" s="1"/>
  <c r="I116" i="323"/>
  <c r="J116" i="323" s="1"/>
  <c r="G43" i="241"/>
  <c r="G49" i="241" s="1"/>
  <c r="C30" i="172"/>
  <c r="G9" i="180"/>
  <c r="D52" i="174"/>
  <c r="D13" i="174" s="1"/>
  <c r="C26" i="178"/>
  <c r="B36" i="267"/>
  <c r="H26" i="272"/>
  <c r="I26" i="272" s="1"/>
  <c r="J26" i="272" s="1"/>
  <c r="I196" i="323"/>
  <c r="J196" i="323" s="1"/>
  <c r="I295" i="323"/>
  <c r="J295" i="323" s="1"/>
  <c r="D26" i="241"/>
  <c r="I18" i="272"/>
  <c r="J18" i="272" s="1"/>
  <c r="I179" i="330"/>
  <c r="J179" i="330" s="1"/>
  <c r="H36" i="241"/>
  <c r="H15" i="241"/>
  <c r="I66" i="330"/>
  <c r="J66" i="330" s="1"/>
  <c r="C26" i="241"/>
  <c r="K100" i="330"/>
  <c r="K126" i="330" s="1"/>
  <c r="K21" i="241"/>
  <c r="K20" i="241" s="1"/>
  <c r="I242" i="330"/>
  <c r="J242" i="330" s="1"/>
  <c r="I133" i="330"/>
  <c r="J133" i="330" s="1"/>
  <c r="H31" i="241"/>
  <c r="C77" i="172"/>
  <c r="A53" i="172"/>
  <c r="A104" i="172" s="1"/>
  <c r="D2" i="335"/>
  <c r="D2" i="333"/>
  <c r="C2" i="180"/>
  <c r="D2" i="183"/>
  <c r="D2" i="181"/>
  <c r="D2" i="325"/>
  <c r="D2" i="326"/>
  <c r="D2" i="242"/>
  <c r="D2" i="270"/>
  <c r="C2" i="175"/>
  <c r="D2" i="318"/>
  <c r="C2" i="173"/>
  <c r="D2" i="177"/>
  <c r="C2" i="334"/>
  <c r="E2" i="174"/>
  <c r="D2" i="178"/>
  <c r="C2" i="317"/>
  <c r="D2" i="269"/>
  <c r="D2" i="324"/>
  <c r="D2" i="182"/>
  <c r="D2" i="268"/>
  <c r="D2" i="272"/>
  <c r="D2" i="241"/>
  <c r="D2" i="323"/>
  <c r="D2" i="330"/>
  <c r="C2" i="267"/>
  <c r="N54" i="317"/>
  <c r="N66" i="317" s="1"/>
  <c r="A1" i="326"/>
  <c r="A1" i="180"/>
  <c r="A1" i="334"/>
  <c r="A1" i="270"/>
  <c r="A1" i="238"/>
  <c r="A1" i="175"/>
  <c r="A1" i="174"/>
  <c r="A1" i="325"/>
  <c r="A1" i="183"/>
  <c r="A1" i="242"/>
  <c r="A1" i="317"/>
  <c r="A1" i="335"/>
  <c r="A1" i="318"/>
  <c r="A1" i="269"/>
  <c r="A1" i="173"/>
  <c r="A1" i="333"/>
  <c r="A1" i="181"/>
  <c r="E20" i="267"/>
  <c r="E23" i="267" s="1"/>
  <c r="E25" i="267" s="1"/>
  <c r="F86" i="268"/>
  <c r="J209" i="324"/>
  <c r="I38" i="181"/>
  <c r="J38" i="181" s="1"/>
  <c r="H44" i="181"/>
  <c r="I44" i="181" s="1"/>
  <c r="J44" i="181" s="1"/>
  <c r="H104" i="318"/>
  <c r="I104" i="318" s="1"/>
  <c r="J104" i="318" s="1"/>
  <c r="E50" i="318"/>
  <c r="E104" i="318"/>
  <c r="E105" i="318" s="1"/>
  <c r="J32" i="268"/>
  <c r="J43" i="268"/>
  <c r="D20" i="267"/>
  <c r="D23" i="267" s="1"/>
  <c r="D25" i="267" s="1"/>
  <c r="E341" i="323"/>
  <c r="E40" i="272"/>
  <c r="J9" i="272"/>
  <c r="E49" i="241"/>
  <c r="E126" i="330"/>
  <c r="J21" i="241"/>
  <c r="I20" i="241"/>
  <c r="F19" i="267"/>
  <c r="H19" i="267" s="1"/>
  <c r="I19" i="267" s="1"/>
  <c r="J36" i="182"/>
  <c r="I38" i="182"/>
  <c r="J38" i="182" s="1"/>
  <c r="F27" i="174"/>
  <c r="F26" i="174"/>
  <c r="F17" i="174"/>
  <c r="F28" i="174"/>
  <c r="G166" i="325"/>
  <c r="F166" i="333"/>
  <c r="I106" i="318"/>
  <c r="J106" i="318" s="1"/>
  <c r="J99" i="318"/>
  <c r="I52" i="269"/>
  <c r="K40" i="272" l="1"/>
  <c r="K341" i="323"/>
  <c r="E56" i="317"/>
  <c r="F55" i="317" s="1"/>
  <c r="F56" i="317" s="1"/>
  <c r="G55" i="317" s="1"/>
  <c r="G56" i="317" s="1"/>
  <c r="H55" i="317" s="1"/>
  <c r="H56" i="317" s="1"/>
  <c r="I55" i="317" s="1"/>
  <c r="I56" i="317" s="1"/>
  <c r="J55" i="317" s="1"/>
  <c r="J56" i="317" s="1"/>
  <c r="K55" i="317" s="1"/>
  <c r="K56" i="317" s="1"/>
  <c r="L55" i="317" s="1"/>
  <c r="L56" i="317" s="1"/>
  <c r="M55" i="317" s="1"/>
  <c r="M56" i="317" s="1"/>
  <c r="N55" i="317" s="1"/>
  <c r="N56" i="317" s="1"/>
  <c r="F35" i="178"/>
  <c r="G48" i="174"/>
  <c r="G10" i="174" s="1"/>
  <c r="C28" i="267"/>
  <c r="D86" i="268"/>
  <c r="G250" i="330"/>
  <c r="C250" i="330"/>
  <c r="E50" i="241"/>
  <c r="D171" i="335"/>
  <c r="H46" i="267"/>
  <c r="I46" i="267" s="1"/>
  <c r="F171" i="326"/>
  <c r="G54" i="174"/>
  <c r="F13" i="178"/>
  <c r="G61" i="174"/>
  <c r="D171" i="326"/>
  <c r="D171" i="242"/>
  <c r="H39" i="268"/>
  <c r="H40" i="268" s="1"/>
  <c r="G28" i="267" s="1"/>
  <c r="D250" i="330"/>
  <c r="D50" i="241"/>
  <c r="K26" i="241"/>
  <c r="C171" i="242"/>
  <c r="F46" i="174"/>
  <c r="F8" i="174" s="1"/>
  <c r="E171" i="335"/>
  <c r="E171" i="242"/>
  <c r="E86" i="268"/>
  <c r="I52" i="268"/>
  <c r="J52" i="268" s="1"/>
  <c r="H47" i="268"/>
  <c r="I343" i="324"/>
  <c r="J343" i="324" s="1"/>
  <c r="E171" i="326"/>
  <c r="F171" i="335"/>
  <c r="K86" i="268"/>
  <c r="H46" i="174"/>
  <c r="H8" i="174" s="1"/>
  <c r="G166" i="333"/>
  <c r="I166" i="333" s="1"/>
  <c r="J166" i="333" s="1"/>
  <c r="I341" i="324"/>
  <c r="J341" i="324" s="1"/>
  <c r="K171" i="326"/>
  <c r="K171" i="242"/>
  <c r="K171" i="335"/>
  <c r="H166" i="242"/>
  <c r="I166" i="242" s="1"/>
  <c r="J166" i="242" s="1"/>
  <c r="H13" i="174"/>
  <c r="H16" i="241"/>
  <c r="I16" i="241" s="1"/>
  <c r="J16" i="241" s="1"/>
  <c r="E250" i="330"/>
  <c r="J176" i="324"/>
  <c r="I24" i="268"/>
  <c r="J24" i="268" s="1"/>
  <c r="F171" i="242"/>
  <c r="H249" i="330"/>
  <c r="H259" i="330" s="1"/>
  <c r="K249" i="330"/>
  <c r="K259" i="330" s="1"/>
  <c r="I129" i="330"/>
  <c r="J129" i="330" s="1"/>
  <c r="G40" i="268"/>
  <c r="G46" i="174" s="1"/>
  <c r="G8" i="174" s="1"/>
  <c r="H166" i="335"/>
  <c r="I166" i="335" s="1"/>
  <c r="J166" i="335" s="1"/>
  <c r="H166" i="325"/>
  <c r="I166" i="325" s="1"/>
  <c r="J166" i="325" s="1"/>
  <c r="I7" i="333"/>
  <c r="J7" i="333" s="1"/>
  <c r="J20" i="241"/>
  <c r="J105" i="330"/>
  <c r="I100" i="330"/>
  <c r="J100" i="330" s="1"/>
  <c r="H126" i="330"/>
  <c r="I6" i="330"/>
  <c r="J6" i="330" s="1"/>
  <c r="B28" i="267"/>
  <c r="K49" i="241"/>
  <c r="C171" i="326"/>
  <c r="C86" i="268"/>
  <c r="I21" i="272"/>
  <c r="C50" i="241"/>
  <c r="C171" i="335"/>
  <c r="G50" i="241"/>
  <c r="K50" i="318"/>
  <c r="K104" i="318"/>
  <c r="K105" i="318" s="1"/>
  <c r="G43" i="178"/>
  <c r="G54" i="178" s="1"/>
  <c r="H39" i="174"/>
  <c r="H39" i="272"/>
  <c r="I24" i="272"/>
  <c r="F49" i="334"/>
  <c r="G49" i="334" s="1"/>
  <c r="G28" i="334"/>
  <c r="B30" i="172"/>
  <c r="H8" i="180"/>
  <c r="I8" i="180" s="1"/>
  <c r="F9" i="180"/>
  <c r="J8" i="180"/>
  <c r="H21" i="272"/>
  <c r="C31" i="172"/>
  <c r="G10" i="180"/>
  <c r="J232" i="330"/>
  <c r="I223" i="330"/>
  <c r="K258" i="330"/>
  <c r="I15" i="241"/>
  <c r="J15" i="241" s="1"/>
  <c r="H10" i="241"/>
  <c r="I40" i="241"/>
  <c r="J40" i="241" s="1"/>
  <c r="H39" i="241"/>
  <c r="I39" i="241" s="1"/>
  <c r="J39" i="241" s="1"/>
  <c r="H166" i="326"/>
  <c r="I166" i="326" s="1"/>
  <c r="J166" i="326" s="1"/>
  <c r="I31" i="241"/>
  <c r="J31" i="241" s="1"/>
  <c r="H29" i="241"/>
  <c r="I36" i="241"/>
  <c r="J36" i="241" s="1"/>
  <c r="H33" i="241"/>
  <c r="I33" i="241" s="1"/>
  <c r="J33" i="241" s="1"/>
  <c r="D39" i="174"/>
  <c r="C43" i="178"/>
  <c r="C54" i="178" s="1"/>
  <c r="F50" i="241"/>
  <c r="F250" i="330"/>
  <c r="F258" i="330"/>
  <c r="I46" i="241"/>
  <c r="H43" i="241"/>
  <c r="I21" i="268"/>
  <c r="J21" i="268" s="1"/>
  <c r="J6" i="268"/>
  <c r="H341" i="323"/>
  <c r="I341" i="323" s="1"/>
  <c r="J341" i="323" s="1"/>
  <c r="F20" i="267"/>
  <c r="F23" i="267" s="1"/>
  <c r="E258" i="330"/>
  <c r="I54" i="269"/>
  <c r="J54" i="269" s="1"/>
  <c r="J52" i="269"/>
  <c r="G53" i="174" l="1"/>
  <c r="G14" i="174" s="1"/>
  <c r="F41" i="178"/>
  <c r="F38" i="267"/>
  <c r="H86" i="268"/>
  <c r="G52" i="174"/>
  <c r="F36" i="267"/>
  <c r="F26" i="178"/>
  <c r="I39" i="268"/>
  <c r="J39" i="268" s="1"/>
  <c r="K50" i="241"/>
  <c r="H63" i="268"/>
  <c r="I47" i="268"/>
  <c r="G171" i="242"/>
  <c r="G171" i="335"/>
  <c r="K250" i="330"/>
  <c r="G86" i="268"/>
  <c r="F28" i="267"/>
  <c r="H28" i="267" s="1"/>
  <c r="I28" i="267" s="1"/>
  <c r="G171" i="326"/>
  <c r="H171" i="326"/>
  <c r="H171" i="335"/>
  <c r="H40" i="272"/>
  <c r="J21" i="272"/>
  <c r="H258" i="330"/>
  <c r="I126" i="330"/>
  <c r="H250" i="330"/>
  <c r="I250" i="330" s="1"/>
  <c r="J250" i="330" s="1"/>
  <c r="H20" i="267"/>
  <c r="I20" i="267" s="1"/>
  <c r="C32" i="172"/>
  <c r="G11" i="180"/>
  <c r="H171" i="242"/>
  <c r="J46" i="241"/>
  <c r="I43" i="241"/>
  <c r="J43" i="241" s="1"/>
  <c r="I29" i="241"/>
  <c r="H49" i="241"/>
  <c r="B31" i="172"/>
  <c r="F10" i="180"/>
  <c r="J9" i="180"/>
  <c r="H9" i="180"/>
  <c r="I9" i="180" s="1"/>
  <c r="I10" i="241"/>
  <c r="H26" i="241"/>
  <c r="J223" i="330"/>
  <c r="I249" i="330"/>
  <c r="I39" i="272"/>
  <c r="J24" i="272"/>
  <c r="F25" i="267"/>
  <c r="H25" i="267" s="1"/>
  <c r="I25" i="267" s="1"/>
  <c r="H23" i="267"/>
  <c r="I23" i="267" s="1"/>
  <c r="G13" i="174" l="1"/>
  <c r="G39" i="174"/>
  <c r="F43" i="178"/>
  <c r="F54" i="178" s="1"/>
  <c r="I40" i="268"/>
  <c r="J40" i="268" s="1"/>
  <c r="J47" i="268"/>
  <c r="I63" i="268"/>
  <c r="J63" i="268" s="1"/>
  <c r="H50" i="241"/>
  <c r="I258" i="330"/>
  <c r="J126" i="330"/>
  <c r="I49" i="241"/>
  <c r="J49" i="241" s="1"/>
  <c r="J29" i="241"/>
  <c r="C33" i="172"/>
  <c r="G12" i="180"/>
  <c r="J39" i="272"/>
  <c r="I40" i="272"/>
  <c r="J40" i="272" s="1"/>
  <c r="J10" i="241"/>
  <c r="I26" i="241"/>
  <c r="B32" i="172"/>
  <c r="J10" i="180"/>
  <c r="H10" i="180"/>
  <c r="I10" i="180" s="1"/>
  <c r="F11" i="180"/>
  <c r="J249" i="330"/>
  <c r="I259" i="330"/>
  <c r="I50" i="241" l="1"/>
  <c r="J50" i="241" s="1"/>
  <c r="J26" i="241"/>
  <c r="C34" i="172"/>
  <c r="G13" i="180"/>
  <c r="B33" i="172"/>
  <c r="H11" i="180"/>
  <c r="I11" i="180" s="1"/>
  <c r="F12" i="180"/>
  <c r="J11" i="180"/>
  <c r="C35" i="172" l="1"/>
  <c r="G14" i="180"/>
  <c r="B34" i="172"/>
  <c r="F13" i="180"/>
  <c r="F14" i="180" s="1"/>
  <c r="H12" i="180"/>
  <c r="I12" i="180" s="1"/>
  <c r="J12" i="180"/>
  <c r="F15" i="180" l="1"/>
  <c r="F16" i="180" s="1"/>
  <c r="H14" i="180"/>
  <c r="I14" i="180" s="1"/>
  <c r="J14" i="180"/>
  <c r="B36" i="172"/>
  <c r="C36" i="172"/>
  <c r="G15" i="180"/>
  <c r="B35" i="172"/>
  <c r="J13" i="180"/>
  <c r="H13" i="180"/>
  <c r="I13" i="180" s="1"/>
  <c r="B38" i="172" l="1"/>
  <c r="F17" i="180"/>
  <c r="J16" i="180"/>
  <c r="B37" i="172"/>
  <c r="J15" i="180"/>
  <c r="H15" i="180"/>
  <c r="I15" i="180" s="1"/>
  <c r="C37" i="172"/>
  <c r="G16" i="180"/>
  <c r="H16" i="180" s="1"/>
  <c r="I16" i="180" s="1"/>
  <c r="J17" i="180" l="1"/>
  <c r="B39" i="172"/>
  <c r="C38" i="172"/>
  <c r="G17" i="180"/>
  <c r="C39" i="172" s="1"/>
  <c r="H17" i="180" l="1"/>
  <c r="I17" i="180" s="1"/>
</calcChain>
</file>

<file path=xl/sharedStrings.xml><?xml version="1.0" encoding="utf-8"?>
<sst xmlns="http://schemas.openxmlformats.org/spreadsheetml/2006/main" count="3110" uniqueCount="1643">
  <si>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</si>
  <si>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</si>
  <si>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</si>
  <si>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</si>
  <si>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</si>
  <si>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</si>
  <si>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</si>
  <si>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</si>
  <si>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</si>
  <si>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</si>
  <si>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</si>
  <si>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</si>
  <si>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</si>
  <si>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</si>
  <si>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</si>
  <si>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</si>
  <si>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</si>
  <si>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</si>
  <si>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</si>
  <si>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</si>
  <si>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</si>
  <si>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</si>
  <si>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</si>
  <si>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</si>
  <si>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</si>
  <si>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</si>
  <si>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</si>
  <si>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</si>
  <si>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</si>
  <si>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</si>
  <si>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</si>
  <si>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</si>
  <si>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</si>
  <si>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</si>
  <si>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</si>
  <si>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</si>
  <si>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</si>
  <si>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</si>
  <si>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</si>
  <si>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</si>
  <si>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</si>
  <si>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</si>
  <si>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</si>
  <si>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</si>
  <si>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</si>
  <si>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</si>
  <si>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</si>
  <si>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</si>
  <si>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</si>
  <si>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</si>
  <si>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</si>
  <si>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</si>
  <si>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</si>
  <si>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</si>
  <si>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</si>
  <si>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</si>
  <si>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</si>
  <si>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</si>
  <si>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</si>
  <si>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</si>
  <si>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</si>
  <si>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</si>
  <si>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</si>
  <si>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</si>
  <si>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</si>
  <si>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</si>
  <si>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</si>
  <si>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</si>
  <si>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</si>
  <si>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</si>
  <si>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</si>
  <si>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</si>
  <si>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</si>
  <si>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</si>
  <si>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</si>
  <si>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</si>
  <si>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</si>
  <si>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</si>
  <si>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</si>
  <si>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</si>
  <si>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</si>
  <si>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</si>
  <si>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</si>
  <si>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</si>
  <si>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</si>
  <si>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</si>
  <si>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</si>
  <si>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</si>
  <si>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</si>
  <si>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</si>
  <si>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</si>
  <si>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</si>
  <si>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</si>
  <si>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</si>
  <si>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</si>
  <si>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</si>
  <si>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</si>
  <si>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</si>
  <si>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</si>
  <si>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</si>
  <si>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</si>
  <si>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</si>
  <si>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</si>
  <si>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</si>
  <si>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</si>
  <si>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</si>
  <si>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</si>
  <si>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</si>
  <si>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</si>
  <si>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</si>
  <si>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</si>
  <si>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</si>
  <si>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</si>
  <si>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</si>
  <si>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</si>
  <si>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</si>
  <si>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</si>
  <si>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</si>
  <si>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</si>
  <si>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</si>
  <si>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</si>
  <si>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</si>
  <si>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</si>
  <si>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</si>
  <si>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</si>
  <si>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</si>
  <si>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</si>
  <si>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</si>
  <si>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</si>
  <si>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</si>
  <si>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</si>
  <si>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</si>
  <si>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</si>
  <si>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</si>
  <si>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</si>
  <si>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</si>
  <si>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</si>
  <si>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</si>
  <si>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</si>
  <si>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</si>
  <si>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</si>
  <si>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</si>
  <si>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</si>
  <si>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</si>
  <si>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</si>
  <si>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</si>
  <si>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</si>
  <si>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</si>
  <si>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</si>
  <si>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</si>
  <si>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</si>
  <si>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</si>
  <si>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</si>
  <si>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</si>
  <si>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</si>
  <si>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</si>
  <si>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</si>
  <si>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</si>
  <si>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</si>
  <si>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</si>
  <si>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</si>
  <si>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</si>
  <si>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</si>
  <si>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</si>
  <si>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</si>
  <si>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</si>
  <si>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</si>
  <si>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</si>
  <si>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</si>
  <si>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</si>
  <si>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</si>
  <si>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</si>
  <si>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</si>
  <si>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</si>
  <si>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</si>
  <si>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</si>
  <si>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</si>
  <si>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</si>
  <si>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</si>
  <si>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</si>
  <si>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</si>
  <si>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</si>
  <si>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</si>
  <si>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</si>
  <si>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</si>
  <si>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</si>
  <si>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</si>
  <si>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</si>
  <si>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</si>
  <si>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</si>
  <si>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</si>
  <si>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</si>
  <si>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</si>
  <si>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</si>
  <si>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</si>
  <si>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</si>
  <si>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</si>
  <si>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</si>
  <si>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</si>
  <si>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</si>
  <si>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</si>
  <si>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</si>
  <si>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</si>
  <si>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</si>
  <si>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</si>
  <si>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</si>
  <si>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</si>
  <si>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</si>
  <si>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</si>
  <si>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</si>
  <si>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</si>
  <si>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</si>
  <si>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</si>
  <si>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</si>
  <si>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</si>
  <si>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</si>
  <si>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</si>
  <si>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</si>
  <si>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</si>
  <si>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</si>
  <si>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</si>
  <si>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</si>
  <si>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</si>
  <si>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</si>
  <si>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</si>
  <si>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</si>
  <si>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</si>
  <si>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</si>
  <si>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</si>
  <si>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</si>
  <si>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</si>
  <si>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</si>
  <si>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</si>
  <si>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</si>
  <si>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</si>
  <si>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</si>
  <si>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</si>
  <si>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</si>
  <si>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</si>
  <si>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</si>
  <si>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</si>
  <si>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</si>
  <si>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</si>
  <si>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</si>
  <si>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</si>
  <si>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</si>
  <si>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</si>
  <si>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</si>
  <si>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</si>
  <si>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</si>
  <si>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</si>
  <si>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</si>
  <si>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</si>
  <si>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</si>
  <si>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</si>
  <si>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</si>
  <si>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</si>
  <si>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</si>
  <si>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</si>
  <si>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</si>
  <si>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</si>
  <si>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</si>
  <si>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</si>
  <si>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</si>
  <si>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</si>
  <si>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</si>
  <si>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</si>
  <si>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</si>
  <si>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</si>
  <si>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</si>
  <si>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</si>
  <si>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</si>
  <si>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</si>
  <si>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</si>
  <si>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</si>
  <si>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</si>
  <si>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</si>
  <si>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</si>
  <si>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</si>
  <si>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</si>
  <si>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</si>
  <si>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</si>
  <si>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</si>
  <si>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</si>
  <si>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</si>
  <si>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</si>
  <si>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</si>
  <si>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</si>
  <si>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</si>
  <si>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</si>
  <si>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</si>
  <si>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</si>
  <si>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</si>
  <si>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</si>
  <si>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</si>
  <si>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</si>
  <si>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</si>
  <si>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</si>
  <si>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</si>
  <si>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</si>
  <si>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</si>
  <si>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</si>
  <si>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</si>
  <si>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</si>
  <si>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</si>
  <si>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</si>
  <si>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</si>
  <si>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</si>
  <si>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</si>
  <si>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</si>
  <si>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</si>
  <si>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</si>
  <si>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</si>
  <si>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</si>
  <si>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</si>
  <si>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</si>
  <si>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</si>
  <si>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</si>
  <si>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</si>
  <si>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</si>
  <si>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</si>
  <si>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</si>
  <si>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</si>
  <si>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</si>
  <si>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</si>
  <si>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</si>
  <si>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</si>
  <si>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</si>
  <si>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</si>
  <si>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</si>
  <si>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</si>
  <si>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</si>
  <si>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</si>
  <si>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</si>
  <si>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</si>
  <si>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</si>
  <si>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</si>
  <si>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</si>
  <si>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</si>
  <si>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</si>
  <si>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</si>
  <si>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</si>
  <si>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</si>
  <si>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</si>
  <si>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</si>
  <si>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</si>
  <si>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</si>
  <si>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</si>
  <si>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</si>
  <si>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</si>
  <si>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</si>
  <si>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</si>
  <si>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</si>
  <si>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</si>
  <si>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</si>
  <si>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</si>
  <si>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</si>
  <si>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</si>
  <si>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</si>
  <si>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</si>
  <si>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</si>
  <si>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</si>
  <si>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</si>
  <si>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</si>
  <si>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</si>
  <si>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</si>
  <si>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</si>
  <si>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</si>
  <si>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</si>
  <si>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</si>
  <si>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</si>
  <si>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</si>
  <si>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</si>
  <si>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</si>
  <si>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</si>
  <si>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</si>
  <si>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</si>
  <si>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</si>
  <si>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</si>
  <si>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</si>
  <si>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</si>
  <si>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</si>
  <si>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</si>
  <si>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</si>
  <si>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</si>
  <si>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</si>
  <si>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</si>
  <si>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</si>
  <si>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</si>
  <si>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</si>
  <si>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</si>
  <si>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</si>
  <si>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</si>
  <si>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</si>
  <si>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</si>
  <si>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</si>
  <si>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</si>
  <si>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</si>
  <si>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</si>
  <si>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</si>
  <si>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</si>
  <si>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</si>
  <si>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</si>
  <si>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</si>
  <si>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</si>
  <si>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</si>
  <si>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</si>
  <si>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</si>
  <si>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</si>
  <si>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</si>
  <si>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</si>
  <si>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</si>
  <si>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</si>
  <si>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</si>
  <si>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</si>
  <si>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</si>
  <si>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</si>
  <si>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</si>
  <si>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</si>
  <si>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</si>
  <si>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</si>
  <si>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</si>
  <si>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</si>
  <si>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</si>
  <si>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</si>
  <si>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</si>
  <si>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</si>
  <si>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</si>
  <si>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</si>
  <si>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</si>
  <si>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</si>
  <si>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</si>
  <si>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</si>
  <si>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</si>
  <si>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</si>
  <si>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</si>
  <si>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</si>
  <si>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</si>
  <si>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</si>
  <si>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</si>
  <si>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</si>
  <si>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</si>
  <si>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</si>
  <si>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</si>
  <si>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</si>
  <si>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</si>
  <si>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</si>
  <si>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</si>
  <si>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</si>
  <si>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</si>
  <si>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</si>
  <si>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</si>
  <si>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</si>
  <si>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</si>
  <si>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</si>
  <si>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</si>
  <si>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</si>
  <si>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</si>
  <si>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</si>
  <si>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</si>
  <si>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</si>
  <si>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</si>
  <si>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</si>
  <si>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</si>
  <si>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</si>
  <si>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</si>
  <si>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</si>
  <si>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</si>
  <si>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</si>
  <si>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</si>
  <si>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</si>
  <si>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</si>
  <si>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</si>
  <si>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</si>
  <si>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</si>
  <si>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</si>
  <si>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</si>
  <si>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</si>
  <si>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</si>
  <si>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</si>
  <si>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</si>
  <si>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</si>
  <si>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</si>
  <si>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</si>
  <si>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</si>
  <si>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</si>
  <si>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</si>
  <si>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</si>
  <si>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</si>
  <si>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</si>
  <si>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</si>
  <si>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</si>
  <si>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</si>
  <si>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</si>
  <si>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</si>
  <si>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</si>
  <si>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</si>
  <si>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</si>
  <si>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</si>
  <si>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</si>
  <si>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</si>
  <si>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</si>
  <si>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</si>
  <si>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</si>
  <si>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</si>
  <si>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</si>
  <si>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</si>
  <si>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</si>
  <si>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</si>
  <si>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</si>
  <si>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</si>
  <si>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</si>
  <si>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</si>
  <si>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</si>
  <si>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</si>
  <si>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</si>
  <si>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</si>
  <si>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</si>
  <si>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</si>
  <si>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</si>
  <si>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</si>
  <si>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</si>
  <si>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</si>
  <si>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</si>
  <si>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</si>
  <si>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</si>
  <si>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</si>
  <si>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</si>
  <si>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</si>
  <si>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</si>
  <si>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</si>
  <si>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</si>
  <si>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</si>
  <si>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</si>
  <si>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</si>
  <si>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</si>
  <si>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</si>
  <si>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</si>
  <si>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</si>
  <si>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</si>
  <si>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</si>
  <si>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</si>
  <si>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</si>
  <si>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</si>
  <si>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</si>
  <si>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</si>
  <si>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</si>
  <si>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</si>
  <si>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</si>
  <si>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</si>
  <si>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</si>
  <si>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</si>
  <si>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</si>
  <si>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</si>
  <si>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</si>
  <si>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</si>
  <si>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</si>
  <si>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</si>
  <si>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</si>
  <si>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</si>
  <si>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</si>
  <si>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</si>
  <si>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</si>
  <si>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</si>
  <si>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</si>
  <si>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</si>
  <si>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</si>
  <si>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</si>
  <si>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</si>
  <si>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</si>
  <si>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</si>
  <si>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</si>
  <si>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</si>
  <si>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</si>
  <si>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</si>
  <si>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</si>
  <si>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</si>
  <si>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</si>
  <si>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</si>
  <si>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</si>
  <si>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</si>
  <si>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</si>
  <si>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</si>
  <si>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</si>
  <si>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</si>
  <si>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</si>
  <si>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</si>
  <si>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</si>
  <si>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</si>
  <si>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</si>
  <si>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</si>
  <si>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</si>
  <si>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</si>
  <si>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</si>
  <si>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</si>
  <si>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</si>
  <si>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</si>
  <si>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</si>
  <si>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</si>
  <si>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</si>
  <si>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</si>
  <si>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</si>
  <si>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</si>
  <si>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</si>
  <si>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</si>
  <si>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</si>
  <si>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</si>
  <si>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</si>
  <si>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</si>
  <si>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</si>
  <si>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</si>
  <si>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</si>
  <si>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</si>
  <si>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</si>
  <si>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</si>
  <si>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</si>
  <si>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</si>
  <si>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</si>
  <si>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</si>
  <si>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</si>
  <si>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</si>
  <si>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</si>
  <si>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</si>
  <si>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</si>
  <si>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</si>
  <si>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</si>
  <si>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</si>
  <si>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</si>
  <si>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</si>
  <si>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</si>
  <si>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</si>
  <si>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</si>
  <si>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</si>
  <si>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</si>
  <si>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</si>
  <si>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</si>
  <si>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</si>
  <si>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</si>
  <si>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</si>
  <si>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</si>
  <si>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</si>
  <si>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</si>
  <si>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</si>
  <si>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</si>
  <si>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</si>
  <si>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</si>
  <si>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</si>
  <si>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</si>
  <si>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</si>
  <si>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</si>
  <si>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</si>
  <si>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</si>
  <si>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</si>
  <si>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</si>
  <si>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</si>
  <si>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</si>
  <si>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</si>
  <si>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</si>
  <si>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</si>
  <si>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</si>
  <si>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</si>
  <si>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</si>
  <si>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</si>
  <si>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</si>
  <si>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</si>
  <si>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</si>
  <si>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</si>
  <si>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</si>
  <si>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</si>
  <si>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</si>
  <si>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</si>
  <si>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</si>
  <si>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</si>
  <si>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</si>
  <si>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</si>
  <si>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</si>
  <si>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</si>
  <si>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</si>
  <si>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</si>
  <si>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</si>
  <si>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</si>
  <si>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</si>
  <si>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</si>
  <si>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</si>
  <si>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</si>
  <si>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</si>
  <si>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</si>
  <si>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</si>
  <si>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</si>
  <si>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</si>
  <si>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</si>
  <si>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</si>
  <si>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</si>
  <si>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</si>
  <si>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</si>
  <si>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</si>
  <si>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</si>
  <si>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</si>
  <si>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</si>
  <si>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</si>
  <si>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</si>
  <si>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</si>
  <si>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</si>
  <si>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</si>
  <si>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</si>
  <si>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</si>
  <si>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</si>
  <si>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</si>
  <si>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</si>
  <si>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</si>
  <si>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</si>
  <si>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</si>
  <si>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</si>
  <si>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</si>
  <si>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</si>
  <si>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</si>
  <si>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</si>
  <si>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</si>
  <si>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</si>
  <si>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</si>
  <si>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</si>
  <si>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</si>
  <si>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</si>
  <si>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</si>
  <si>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</si>
  <si>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</si>
  <si>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</si>
  <si>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</si>
  <si>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</si>
  <si>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</si>
  <si>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</si>
  <si>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</si>
  <si>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</si>
  <si>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</si>
  <si>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</si>
  <si>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</si>
  <si>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</si>
  <si>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</si>
  <si>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</si>
  <si>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</si>
  <si>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</si>
  <si>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</si>
  <si>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</si>
  <si>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</si>
  <si>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</si>
  <si>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</si>
  <si>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</si>
  <si>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</si>
  <si>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</si>
  <si>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</si>
  <si>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</si>
  <si>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</si>
  <si>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</si>
  <si>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</si>
  <si>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</si>
  <si>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</si>
  <si>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</si>
  <si>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</si>
  <si>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</si>
  <si>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</si>
  <si>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</si>
  <si>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</si>
  <si>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</si>
  <si>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</si>
  <si>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</si>
  <si>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</si>
  <si>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</si>
  <si>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</si>
  <si>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</si>
  <si>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</si>
  <si>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</si>
  <si>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</si>
  <si>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</si>
  <si>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</si>
  <si>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</si>
  <si>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</si>
  <si>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</si>
  <si>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</si>
  <si>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</si>
  <si>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</si>
  <si>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</si>
  <si>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</si>
  <si>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</si>
  <si>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</si>
  <si>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</si>
  <si>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</si>
  <si>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</si>
  <si>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</si>
  <si>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</si>
  <si>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</si>
  <si>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</si>
  <si>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</si>
  <si>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</si>
  <si>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</si>
  <si>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</si>
  <si>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</si>
  <si>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</si>
  <si>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</si>
  <si>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</si>
  <si>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</si>
  <si>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</si>
  <si>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</si>
  <si>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</si>
  <si>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</si>
  <si>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</si>
  <si>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</si>
  <si>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</si>
  <si>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</si>
  <si>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</si>
  <si>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</si>
  <si>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</si>
  <si>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</si>
  <si>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</si>
  <si>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</si>
  <si>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</si>
  <si>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</si>
  <si>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</si>
  <si>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</si>
  <si>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</si>
  <si>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</si>
  <si>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</si>
  <si>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</si>
  <si>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</si>
  <si>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</si>
  <si>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</si>
  <si>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</si>
  <si>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</si>
  <si>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</si>
  <si>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</si>
  <si>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</si>
  <si>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</si>
  <si>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</si>
  <si>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</si>
  <si>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</si>
  <si>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</si>
  <si>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</si>
  <si>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</si>
  <si>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</si>
  <si>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</si>
  <si>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</si>
  <si>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</si>
  <si>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</si>
  <si>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</si>
  <si>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</si>
  <si>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</si>
  <si>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</si>
  <si>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</si>
  <si>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</si>
  <si>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</si>
  <si>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</si>
  <si>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</si>
  <si>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</si>
  <si>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</si>
  <si>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</si>
  <si>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</si>
  <si>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</si>
  <si>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</si>
  <si>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</si>
  <si>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</si>
  <si>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</si>
  <si>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</si>
  <si>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</si>
  <si>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</si>
  <si>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</si>
  <si>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</si>
  <si>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</si>
  <si>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</si>
  <si>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</si>
  <si>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</si>
  <si>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</si>
  <si>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</si>
  <si>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</si>
  <si>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</si>
  <si>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</si>
  <si>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</si>
  <si>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</si>
  <si>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</si>
  <si>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</si>
  <si>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</si>
  <si>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</si>
  <si>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</si>
  <si>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</si>
  <si>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</si>
  <si>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</si>
  <si>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</si>
  <si>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</si>
  <si>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</si>
  <si>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</si>
  <si>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</si>
  <si>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</si>
  <si>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</si>
  <si>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</si>
  <si>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</si>
  <si>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</si>
  <si>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</si>
  <si>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</si>
  <si>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</si>
  <si>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</si>
  <si>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</si>
  <si>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</si>
  <si>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</si>
  <si>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</si>
  <si>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</si>
  <si>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</si>
  <si>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</si>
  <si>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</si>
  <si>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</si>
  <si>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</si>
  <si>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</si>
  <si>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</si>
  <si>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</si>
  <si>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</si>
  <si>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</si>
  <si>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</si>
  <si>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</si>
  <si>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</si>
  <si>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</si>
  <si>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</si>
  <si>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</si>
  <si>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</si>
  <si>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</si>
  <si>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</si>
  <si>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</si>
  <si>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</si>
  <si>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</si>
  <si>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</si>
  <si>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</si>
  <si>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</si>
  <si>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</si>
  <si>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</si>
  <si>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</si>
  <si>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</si>
  <si>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</si>
  <si>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</si>
  <si>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</si>
  <si>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</si>
  <si>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</si>
  <si>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</si>
  <si>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</si>
  <si>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</si>
  <si>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</si>
  <si>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</si>
  <si>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</si>
  <si>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</si>
  <si>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</si>
  <si>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</si>
  <si>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</si>
  <si>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</si>
  <si>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</si>
  <si>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</si>
  <si>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</si>
  <si>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</si>
  <si>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</si>
  <si>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</si>
  <si>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</si>
  <si>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</si>
  <si>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</si>
  <si>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</si>
  <si>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</si>
  <si>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</si>
  <si>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</si>
  <si>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</si>
  <si>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</si>
  <si>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</si>
  <si>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</si>
  <si>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</si>
  <si>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</si>
  <si>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</si>
  <si>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</si>
  <si>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</si>
  <si>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</si>
  <si>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</si>
  <si>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</si>
  <si>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</si>
  <si>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</si>
  <si>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</si>
  <si>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</si>
  <si>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</si>
  <si>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</si>
  <si>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</si>
  <si>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</si>
  <si>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</si>
  <si>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</si>
  <si>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</si>
  <si>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</si>
  <si>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</si>
  <si>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</si>
  <si>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</si>
  <si>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</si>
  <si>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</si>
  <si>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</si>
  <si>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</si>
  <si>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</si>
  <si>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</si>
  <si>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</si>
  <si>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</si>
  <si>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</si>
  <si>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</si>
  <si>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</si>
  <si>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</si>
  <si>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</si>
  <si>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</si>
  <si>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</si>
  <si>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</si>
  <si>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</si>
  <si>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</si>
  <si>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</si>
  <si>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</si>
  <si>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</si>
  <si>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</si>
  <si>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</si>
  <si>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</si>
  <si>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</si>
  <si>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</si>
  <si>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</si>
  <si>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</si>
  <si>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</si>
  <si>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</si>
  <si>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</si>
  <si>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</si>
  <si>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</si>
  <si>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</si>
  <si>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</si>
  <si>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</si>
  <si>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</si>
  <si>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</si>
  <si>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</si>
  <si>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</si>
  <si>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</si>
  <si>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</si>
  <si>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</si>
  <si>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</si>
  <si>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</si>
  <si>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</si>
  <si>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</si>
  <si>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</si>
  <si>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</si>
  <si>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</si>
  <si>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</si>
  <si>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</si>
  <si>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</si>
  <si>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</si>
  <si>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</si>
  <si>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</si>
  <si>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</si>
  <si>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</si>
  <si>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</si>
  <si>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</si>
  <si>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</si>
  <si>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</si>
  <si>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</si>
  <si>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</si>
  <si>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</si>
  <si>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</si>
  <si>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</si>
  <si>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</si>
  <si>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</si>
  <si>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</si>
  <si>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</si>
  <si>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</si>
  <si>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</si>
  <si>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</si>
  <si>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</si>
  <si>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</si>
  <si>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</si>
  <si>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</si>
  <si>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</si>
  <si>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</si>
  <si>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</si>
  <si>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</si>
  <si>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</si>
  <si>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</si>
  <si>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</si>
  <si>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</si>
  <si>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</si>
  <si>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</si>
  <si>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</si>
  <si>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</si>
  <si>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</si>
  <si>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</si>
  <si>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</si>
  <si>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</si>
  <si>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</si>
  <si>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</si>
  <si>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</si>
  <si>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</si>
  <si>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</si>
  <si>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</si>
  <si>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</si>
  <si>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</si>
  <si>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</si>
  <si>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</si>
  <si>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</si>
  <si>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</si>
  <si>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</si>
  <si>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</si>
  <si>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</si>
  <si>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</si>
  <si>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</si>
  <si>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</si>
  <si>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</si>
  <si>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</si>
  <si>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</si>
  <si>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</si>
  <si>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</si>
  <si>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</si>
  <si>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</si>
  <si>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</si>
  <si>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</si>
  <si>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</si>
  <si>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</si>
  <si>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</si>
  <si>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</si>
  <si>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</si>
  <si>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</si>
  <si>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</si>
  <si>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</si>
  <si>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</si>
  <si>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</si>
  <si>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</si>
  <si>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</si>
  <si>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</si>
  <si>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</si>
  <si>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</si>
  <si>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</si>
  <si>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</si>
  <si>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</si>
  <si>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</si>
  <si>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</si>
  <si>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</si>
  <si>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</si>
  <si>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</si>
  <si>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</si>
  <si>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</si>
  <si>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</si>
  <si>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</si>
  <si>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</si>
  <si>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</si>
  <si>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</si>
  <si>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</si>
  <si>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</si>
  <si>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</si>
  <si>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</si>
  <si>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</si>
  <si>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</si>
  <si>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</si>
  <si>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</si>
  <si>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</si>
  <si>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</si>
  <si>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</si>
  <si>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</si>
  <si>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</si>
  <si>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</si>
  <si>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</si>
  <si>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</si>
  <si>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</si>
  <si>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</si>
  <si>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</si>
  <si>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</si>
  <si>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</si>
  <si>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</si>
  <si>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</si>
  <si>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</si>
  <si>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</si>
  <si>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</si>
  <si>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</si>
  <si>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</si>
  <si>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</si>
  <si>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</si>
  <si>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</si>
  <si>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</si>
  <si>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</si>
  <si>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</si>
  <si>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</si>
  <si>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</si>
  <si>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</si>
  <si>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</si>
  <si>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</si>
  <si>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</si>
  <si>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</si>
  <si>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</si>
  <si>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</si>
  <si>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</si>
  <si>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</si>
  <si>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</si>
  <si>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</si>
  <si>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</si>
  <si>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</si>
  <si>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</si>
  <si>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</si>
  <si>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</si>
  <si>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</si>
  <si>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</si>
  <si>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</si>
  <si>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</si>
  <si>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</si>
  <si>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</si>
  <si>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</si>
  <si>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</si>
  <si>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</si>
  <si>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</si>
  <si>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</si>
  <si>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</si>
  <si>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</si>
  <si>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</si>
  <si>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</si>
  <si>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</si>
  <si>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</si>
  <si>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</si>
  <si>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</si>
  <si>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</si>
  <si>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</si>
  <si>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</si>
  <si>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</si>
  <si>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</si>
  <si>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</si>
  <si>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</si>
  <si>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</si>
  <si>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</si>
  <si>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</si>
  <si>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</si>
  <si>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</si>
  <si>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</si>
  <si>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</si>
  <si>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</si>
  <si>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</si>
  <si>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</si>
  <si>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</si>
  <si>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</si>
  <si>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</si>
  <si>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</si>
  <si>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</si>
  <si>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</si>
  <si>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</si>
  <si>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</si>
  <si>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</si>
  <si>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</si>
  <si>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</si>
  <si>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</si>
  <si>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</si>
  <si>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</si>
  <si>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</si>
  <si>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</si>
  <si>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</si>
  <si>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</si>
  <si>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</si>
  <si>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</si>
  <si>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</si>
  <si>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</si>
  <si>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</si>
  <si>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</si>
  <si>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</si>
  <si>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</si>
  <si>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</si>
  <si>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</si>
  <si>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</si>
  <si>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</si>
  <si>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</si>
  <si>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</si>
  <si>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</si>
  <si>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</si>
  <si>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</si>
  <si>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</si>
  <si>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</si>
  <si>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</si>
  <si>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</si>
  <si>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</si>
  <si>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</si>
  <si>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</si>
  <si>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</si>
  <si>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</si>
  <si>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</si>
  <si>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</si>
  <si>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</si>
  <si>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</si>
  <si>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</si>
  <si>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</si>
  <si>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</si>
  <si>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</si>
  <si>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</si>
  <si>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</si>
  <si>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</si>
  <si>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</si>
  <si>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</si>
  <si>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</si>
  <si>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</si>
  <si>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</si>
  <si>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</si>
  <si>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</si>
  <si>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</si>
  <si>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</si>
  <si>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</si>
  <si>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</si>
  <si>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</si>
  <si>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</si>
  <si>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</si>
  <si>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</si>
  <si>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</si>
  <si>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</si>
  <si>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</si>
  <si>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</si>
  <si>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</si>
  <si>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</si>
  <si>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</si>
  <si>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</si>
  <si>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</si>
  <si>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</si>
  <si>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</si>
  <si>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</si>
  <si>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</si>
  <si>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</si>
  <si>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</si>
  <si>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</si>
  <si>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</si>
  <si>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</si>
  <si>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</si>
  <si>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</si>
  <si>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</si>
  <si>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</si>
  <si>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</si>
  <si>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</si>
  <si>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</si>
  <si>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</si>
  <si>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</si>
  <si>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</si>
  <si>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</si>
  <si>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</si>
  <si>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</si>
  <si>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</si>
  <si>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</si>
  <si>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</si>
  <si>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</si>
  <si>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</si>
  <si>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</si>
  <si>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</si>
  <si>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</si>
  <si>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</si>
  <si>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</si>
  <si>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</si>
  <si>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</si>
  <si>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</si>
  <si>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</si>
  <si>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</si>
  <si>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</si>
  <si>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</si>
  <si>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</si>
  <si>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</si>
  <si>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</si>
  <si>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</si>
  <si>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</si>
  <si>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</si>
  <si>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</si>
  <si>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</si>
  <si>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</si>
  <si>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</si>
  <si>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</si>
  <si>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</si>
  <si>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</si>
  <si>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</si>
  <si>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</si>
  <si>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</si>
  <si>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</si>
  <si>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</si>
  <si>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</si>
  <si>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</si>
  <si>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</si>
  <si>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</si>
  <si>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</si>
  <si>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</si>
  <si>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</si>
  <si>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</si>
  <si>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</si>
  <si>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</si>
  <si>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</si>
  <si>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</si>
  <si>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</si>
  <si>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</si>
  <si>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</si>
  <si>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</si>
  <si>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</si>
  <si>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</si>
  <si>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</si>
  <si>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</si>
  <si>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</si>
  <si>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</si>
  <si>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</si>
  <si>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</si>
  <si>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</si>
  <si>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</si>
  <si>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</si>
  <si>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</si>
  <si>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</si>
  <si>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</si>
  <si>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</si>
  <si>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</si>
  <si>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</si>
  <si>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</si>
  <si>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</si>
  <si>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</si>
  <si>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</si>
  <si>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</si>
  <si>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</si>
  <si>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</si>
  <si>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</si>
  <si>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</si>
  <si>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</si>
  <si>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</si>
  <si>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</si>
  <si>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</si>
  <si>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</si>
  <si>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</si>
  <si>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</si>
  <si>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</si>
  <si>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</si>
  <si>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</si>
  <si>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</si>
  <si>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</si>
  <si>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</si>
  <si>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</si>
  <si>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</si>
  <si>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</si>
  <si>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</si>
  <si>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</si>
  <si>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</si>
  <si>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</si>
  <si>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</si>
  <si>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</si>
  <si>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</si>
  <si>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</si>
  <si>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</si>
  <si>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</si>
  <si>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</si>
  <si>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</si>
  <si>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</si>
  <si>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</si>
  <si>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</si>
  <si>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</si>
  <si>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</si>
  <si>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</si>
  <si>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</si>
  <si>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</si>
  <si>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</si>
  <si>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</si>
  <si>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</si>
  <si>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</si>
  <si>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</si>
  <si>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</si>
  <si>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</si>
  <si>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</si>
  <si>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</si>
  <si>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</si>
  <si>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</si>
  <si>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</si>
  <si>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</si>
  <si>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</si>
  <si>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</si>
  <si>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</si>
  <si>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</si>
  <si>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</si>
  <si>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</si>
  <si>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</si>
  <si>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</si>
  <si>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</si>
  <si>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</si>
  <si>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</si>
  <si>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</si>
  <si>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</si>
  <si>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</si>
  <si>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</si>
  <si>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</si>
  <si>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</si>
  <si>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</si>
  <si>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</si>
  <si>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</si>
  <si>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</si>
  <si>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</si>
  <si>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</si>
  <si>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</si>
  <si>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</si>
  <si>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</si>
  <si>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</si>
  <si>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</si>
  <si>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</si>
  <si>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</si>
  <si>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</si>
  <si>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</si>
  <si>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</si>
  <si>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</si>
  <si>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</si>
  <si>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</si>
  <si>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</si>
  <si>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</si>
  <si>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</si>
  <si>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</si>
  <si>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</si>
  <si>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</si>
  <si>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</si>
  <si>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</si>
  <si>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</si>
  <si>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</si>
  <si>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</si>
  <si>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</si>
  <si>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</si>
  <si>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</si>
  <si>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</si>
  <si>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</si>
  <si>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</si>
  <si>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</si>
  <si>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</si>
  <si>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</si>
  <si>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</si>
  <si>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</si>
  <si>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</si>
  <si>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</si>
  <si>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</si>
  <si>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</si>
  <si>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</si>
  <si>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</si>
  <si>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</si>
  <si>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</si>
  <si>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</si>
  <si>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</si>
  <si>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</si>
  <si>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</si>
  <si>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</si>
  <si>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</si>
  <si>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</si>
  <si>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</si>
  <si>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</si>
  <si>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</si>
  <si>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</si>
  <si>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</si>
  <si>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</si>
  <si>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</si>
  <si>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</si>
  <si>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</si>
  <si>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</si>
  <si>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</si>
  <si>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</si>
  <si>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</si>
  <si>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</si>
  <si>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</si>
  <si>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</si>
  <si>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</si>
  <si>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</si>
  <si>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</si>
  <si>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</si>
  <si>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</si>
  <si>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</si>
  <si>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</si>
  <si>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</si>
  <si>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</si>
  <si>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</si>
  <si>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</si>
  <si>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</si>
  <si>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</si>
  <si>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</si>
  <si>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</si>
  <si>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</si>
  <si>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</si>
  <si>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</si>
  <si>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</si>
  <si>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</si>
  <si>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</si>
  <si>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</si>
  <si>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</si>
  <si>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</si>
  <si>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</si>
  <si>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</si>
  <si>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</si>
  <si>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</si>
  <si>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</si>
  <si>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</si>
  <si>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</si>
  <si>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</si>
  <si>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</si>
  <si>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</si>
  <si>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</si>
  <si>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</si>
  <si>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</si>
  <si>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</si>
  <si>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</si>
  <si>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</si>
  <si>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</si>
  <si>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</si>
  <si>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</si>
  <si>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</si>
  <si>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</si>
  <si>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</si>
  <si>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</si>
  <si>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</si>
  <si>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</si>
  <si>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</si>
  <si>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</si>
  <si>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</si>
  <si>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</si>
  <si>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</si>
  <si>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</si>
  <si>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</si>
  <si>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</si>
  <si>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</si>
  <si>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</si>
  <si>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</si>
  <si>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</si>
  <si>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</si>
  <si>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</si>
  <si>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</si>
  <si>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</si>
  <si>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</si>
  <si>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</si>
  <si>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</si>
  <si>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</si>
  <si>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</si>
  <si>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</si>
  <si>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</si>
  <si>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</si>
  <si>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</si>
  <si>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</si>
  <si>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</si>
  <si>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</si>
  <si>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</si>
  <si>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</si>
  <si>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</si>
  <si>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</si>
  <si>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</si>
  <si>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</si>
  <si>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</si>
  <si>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</si>
  <si>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</si>
  <si>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</si>
  <si>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</si>
  <si>
    <t/>
  </si>
  <si>
    <t>N/A</t>
  </si>
  <si>
    <t>This is mainly due to inclusion of energy efficiency interventions (solar water heating, heat pumps, off grid technologies) by consumers. However, electricity sales is expected to increase during the winter months.</t>
  </si>
  <si>
    <t>The decrease is due to decreased demand in usage of rental facilities.</t>
  </si>
  <si>
    <t>The proportionate increase  in Interest earned- Outstanding debtors is attributable to the adverse economic conditions that are impacting negatively on timeous payment of debt by consumers.</t>
  </si>
  <si>
    <t>This is an improvement as a result of the various initiatives that have been implemented to collect outstanding fines as well as penalties for for illegal connections</t>
  </si>
  <si>
    <t>Revenue from licenses and permits is expected to be lower than budget due to a decrease number of people obtaining licenses and permits than anticipated.</t>
  </si>
  <si>
    <t>The actual calculation of Debt Impairment is done at the end of the financial year; actual expenditure will show more accurate figures at year end.</t>
  </si>
  <si>
    <t>The final entries for depreciation as well as debt impairment are done at the end of the financial year.</t>
  </si>
  <si>
    <t>Under spending due to non-cash provisions which will be calculated at financial year end</t>
  </si>
  <si>
    <t>This expenditure is dependent on needs and requirements of departments for materials.</t>
  </si>
  <si>
    <t>Delayed due to late  appointment of 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</si>
</sst>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9" fontId="4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0" fontId="60" fillId="0" borderId="0" applyNumberFormat="0" applyFill="0" applyBorder="0" applyAlignment="0" applyProtection="0">
      <alignment vertical="top"/>
      <protection locked="0"/>
    </xf>
    <xf numFmtId="0" fontId="6" fillId="0" borderId="0"/>
    <xf numFmtId="0" fontId="8" fillId="0" borderId="0"/>
    <xf numFmtId="0" fontId="6" fillId="0" borderId="0"/>
    <xf numFmtId="9" fontId="6" fillId="0" borderId="0" applyFont="0" applyFill="0" applyBorder="0" applyAlignment="0" applyProtection="0"/>
    <xf numFmtId="0" fontId="6" fillId="0" borderId="0"/>
    <xf numFmtId="165" fontId="24" fillId="0" borderId="0" applyFont="0" applyFill="0" applyBorder="0" applyAlignment="0" applyProtection="0"/>
    <xf numFmtId="165" fontId="24" fillId="0" borderId="0" applyFont="0" applyFill="0" applyBorder="0" applyAlignment="0" applyProtection="0"/>
    <xf numFmtId="0" fontId="61" fillId="35" borderId="91" applyNumberFormat="0" applyAlignment="0" applyProtection="0"/>
    <xf numFmtId="0" fontId="8" fillId="0" borderId="0"/>
    <xf numFmtId="43" fontId="24"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5" fontId="2" fillId="0" borderId="0" applyFont="0" applyFill="0" applyBorder="0" applyAlignment="0" applyProtection="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1" fillId="65" borderId="0" applyNumberFormat="0" applyBorder="0" applyAlignment="0" applyProtection="0"/>
    <xf numFmtId="0" fontId="1" fillId="0" borderId="0"/>
    <xf numFmtId="0" fontId="62" fillId="0" borderId="0" applyNumberFormat="0" applyFill="0" applyBorder="0" applyAlignment="0" applyProtection="0"/>
    <xf numFmtId="0" fontId="63" fillId="0" borderId="92" applyNumberFormat="0" applyFill="0" applyAlignment="0" applyProtection="0"/>
    <xf numFmtId="0" fontId="64" fillId="0" borderId="93" applyNumberFormat="0" applyFill="0" applyAlignment="0" applyProtection="0"/>
    <xf numFmtId="0" fontId="65" fillId="0" borderId="94" applyNumberFormat="0" applyFill="0" applyAlignment="0" applyProtection="0"/>
    <xf numFmtId="0" fontId="65" fillId="0" borderId="0" applyNumberFormat="0" applyFill="0" applyBorder="0" applyAlignment="0" applyProtection="0"/>
    <xf numFmtId="0" fontId="66" fillId="37" borderId="0" applyNumberFormat="0" applyBorder="0" applyAlignment="0" applyProtection="0"/>
    <xf numFmtId="0" fontId="68" fillId="39" borderId="0" applyNumberFormat="0" applyBorder="0" applyAlignment="0" applyProtection="0"/>
    <xf numFmtId="0" fontId="69" fillId="40" borderId="95" applyNumberFormat="0" applyAlignment="0" applyProtection="0"/>
    <xf numFmtId="0" fontId="70" fillId="41" borderId="96" applyNumberFormat="0" applyAlignment="0" applyProtection="0"/>
    <xf numFmtId="0" fontId="71" fillId="41" borderId="95" applyNumberFormat="0" applyAlignment="0" applyProtection="0"/>
    <xf numFmtId="0" fontId="72" fillId="0" borderId="97" applyNumberFormat="0" applyFill="0" applyAlignment="0" applyProtection="0"/>
    <xf numFmtId="0" fontId="73" fillId="0" borderId="0" applyNumberFormat="0" applyFill="0" applyBorder="0" applyAlignment="0" applyProtection="0"/>
    <xf numFmtId="0" fontId="1" fillId="42" borderId="98" applyNumberFormat="0" applyFon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1" fillId="64" borderId="0" applyNumberFormat="0" applyBorder="0" applyAlignment="0" applyProtection="0"/>
    <xf numFmtId="0" fontId="76" fillId="66" borderId="0" applyNumberFormat="0" applyBorder="0" applyAlignment="0" applyProtection="0"/>
    <xf numFmtId="0" fontId="8"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67" fillId="3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8" fillId="0" borderId="0"/>
  </cellStyleXfs>
  <cellXfs count="1078">
    <xf numFmtId="0" fontId="0" fillId="0" borderId="0" xfId="0"/>
    <xf numFmtId="0" fontId="9" fillId="0" borderId="0" xfId="0" applyFont="1"/>
    <xf numFmtId="0" fontId="9" fillId="0" borderId="10" xfId="0" applyFont="1" applyBorder="1" applyAlignment="1">
      <alignment horizontal="center"/>
    </xf>
    <xf numFmtId="0" fontId="9" fillId="0" borderId="0" xfId="0" applyFont="1" applyBorder="1" applyAlignment="1">
      <alignment horizontal="center"/>
    </xf>
    <xf numFmtId="0" fontId="9" fillId="0" borderId="0" xfId="0" applyFont="1" applyBorder="1"/>
    <xf numFmtId="0" fontId="11" fillId="0" borderId="0" xfId="0" applyFont="1" applyBorder="1"/>
    <xf numFmtId="0" fontId="9" fillId="0" borderId="0" xfId="0" applyFont="1" applyAlignment="1">
      <alignment horizontal="center"/>
    </xf>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1" xfId="0" quotePrefix="1" applyFont="1" applyBorder="1"/>
    <xf numFmtId="0" fontId="9" fillId="0" borderId="0" xfId="0" quotePrefix="1" applyFont="1" applyBorder="1"/>
    <xf numFmtId="0" fontId="10" fillId="24" borderId="18" xfId="0" applyFont="1" applyFill="1" applyBorder="1" applyAlignment="1">
      <alignment horizontal="center"/>
    </xf>
    <xf numFmtId="0" fontId="14" fillId="0" borderId="19" xfId="0" applyFont="1" applyFill="1" applyBorder="1" applyAlignment="1">
      <alignment horizontal="center" vertical="top" wrapText="1"/>
    </xf>
    <xf numFmtId="0" fontId="14" fillId="0" borderId="15"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Fill="1" applyBorder="1" applyAlignment="1">
      <alignment horizontal="left"/>
    </xf>
    <xf numFmtId="0" fontId="17" fillId="0" borderId="0" xfId="0" quotePrefix="1" applyFont="1" applyBorder="1" applyAlignment="1">
      <alignment horizontal="left" wrapText="1"/>
    </xf>
    <xf numFmtId="0" fontId="14" fillId="0" borderId="20" xfId="0" applyFont="1" applyFill="1" applyBorder="1" applyAlignment="1">
      <alignment horizontal="center" vertical="center" wrapText="1"/>
    </xf>
    <xf numFmtId="0" fontId="13" fillId="0" borderId="0" xfId="0" applyFont="1"/>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172" fontId="13" fillId="0" borderId="22" xfId="0" applyNumberFormat="1" applyFont="1" applyBorder="1"/>
    <xf numFmtId="172" fontId="13" fillId="0" borderId="23" xfId="0" applyNumberFormat="1" applyFont="1" applyBorder="1"/>
    <xf numFmtId="0" fontId="13" fillId="0" borderId="17" xfId="0" applyFont="1" applyBorder="1"/>
    <xf numFmtId="172" fontId="13" fillId="0" borderId="24" xfId="0" applyNumberFormat="1" applyFont="1" applyBorder="1"/>
    <xf numFmtId="0" fontId="17" fillId="0" borderId="0" xfId="0" applyFont="1" applyAlignment="1">
      <alignment horizontal="left"/>
    </xf>
    <xf numFmtId="0" fontId="14" fillId="0" borderId="16" xfId="0" applyFont="1" applyFill="1" applyBorder="1" applyAlignment="1">
      <alignment horizontal="left" vertical="center"/>
    </xf>
    <xf numFmtId="0" fontId="16" fillId="0" borderId="11" xfId="0" applyFont="1" applyBorder="1"/>
    <xf numFmtId="0" fontId="14" fillId="0" borderId="23" xfId="0" applyFont="1" applyBorder="1" applyAlignment="1">
      <alignment horizontal="center"/>
    </xf>
    <xf numFmtId="0" fontId="14" fillId="0" borderId="25" xfId="0" applyFont="1" applyBorder="1" applyAlignment="1">
      <alignment horizontal="center"/>
    </xf>
    <xf numFmtId="0" fontId="14" fillId="0" borderId="10" xfId="0" applyFont="1" applyBorder="1" applyAlignment="1">
      <alignment horizontal="center"/>
    </xf>
    <xf numFmtId="0" fontId="13" fillId="0" borderId="11" xfId="0" applyFont="1" applyBorder="1" applyAlignment="1">
      <alignment horizontal="left" indent="1"/>
    </xf>
    <xf numFmtId="170" fontId="13" fillId="0" borderId="10" xfId="0" applyNumberFormat="1" applyFont="1" applyBorder="1"/>
    <xf numFmtId="0" fontId="14" fillId="0" borderId="11" xfId="0" applyFont="1" applyBorder="1" applyAlignment="1">
      <alignment horizontal="left"/>
    </xf>
    <xf numFmtId="0" fontId="13" fillId="0" borderId="11" xfId="0" applyFont="1" applyBorder="1"/>
    <xf numFmtId="173" fontId="13" fillId="0" borderId="0" xfId="0" applyNumberFormat="1" applyFont="1" applyBorder="1"/>
    <xf numFmtId="173" fontId="13" fillId="0" borderId="22" xfId="0" applyNumberFormat="1" applyFont="1" applyBorder="1"/>
    <xf numFmtId="173" fontId="13" fillId="0" borderId="13" xfId="0" applyNumberFormat="1" applyFont="1" applyBorder="1"/>
    <xf numFmtId="173" fontId="13" fillId="0" borderId="26" xfId="0" applyNumberFormat="1" applyFont="1" applyBorder="1"/>
    <xf numFmtId="173" fontId="13" fillId="0" borderId="22" xfId="0" applyNumberFormat="1" applyFont="1" applyFill="1" applyBorder="1"/>
    <xf numFmtId="170" fontId="13" fillId="0" borderId="13" xfId="0" applyNumberFormat="1" applyFont="1" applyFill="1" applyBorder="1"/>
    <xf numFmtId="173" fontId="14" fillId="0" borderId="0" xfId="0" applyNumberFormat="1" applyFont="1" applyBorder="1"/>
    <xf numFmtId="173" fontId="14" fillId="0" borderId="22" xfId="0" applyNumberFormat="1" applyFont="1" applyBorder="1"/>
    <xf numFmtId="173" fontId="14" fillId="0" borderId="26" xfId="0" applyNumberFormat="1" applyFont="1" applyBorder="1"/>
    <xf numFmtId="170" fontId="14" fillId="0" borderId="10" xfId="0" applyNumberFormat="1" applyFont="1" applyBorder="1"/>
    <xf numFmtId="0" fontId="14" fillId="0" borderId="27" xfId="0" applyFont="1" applyBorder="1"/>
    <xf numFmtId="173" fontId="14" fillId="0" borderId="28" xfId="0" applyNumberFormat="1" applyFont="1" applyBorder="1"/>
    <xf numFmtId="173" fontId="14" fillId="0" borderId="29" xfId="0" applyNumberFormat="1" applyFont="1" applyBorder="1"/>
    <xf numFmtId="173" fontId="14" fillId="0" borderId="30" xfId="0" applyNumberFormat="1" applyFont="1" applyBorder="1"/>
    <xf numFmtId="0" fontId="18" fillId="0" borderId="0" xfId="0" applyFont="1" applyBorder="1"/>
    <xf numFmtId="0" fontId="13" fillId="0" borderId="0" xfId="0" applyFont="1" applyBorder="1" applyAlignment="1">
      <alignment horizontal="center"/>
    </xf>
    <xf numFmtId="170" fontId="14" fillId="0" borderId="0" xfId="0" applyNumberFormat="1" applyFont="1" applyFill="1" applyBorder="1"/>
    <xf numFmtId="0" fontId="17" fillId="0" borderId="0" xfId="0" quotePrefix="1" applyFont="1" applyBorder="1"/>
    <xf numFmtId="0" fontId="14" fillId="0" borderId="0" xfId="0" applyFont="1" applyBorder="1"/>
    <xf numFmtId="170"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6" fontId="13" fillId="0" borderId="0" xfId="28" applyNumberFormat="1" applyFont="1"/>
    <xf numFmtId="0" fontId="13" fillId="0" borderId="0" xfId="0" applyFont="1" applyBorder="1"/>
    <xf numFmtId="0" fontId="13" fillId="0" borderId="0" xfId="0" applyFont="1" applyAlignment="1">
      <alignment horizontal="center"/>
    </xf>
    <xf numFmtId="166" fontId="13" fillId="0" borderId="0" xfId="28" applyNumberFormat="1" applyFont="1" applyAlignment="1">
      <alignment horizontal="center"/>
    </xf>
    <xf numFmtId="169" fontId="13" fillId="0" borderId="0" xfId="42" applyNumberFormat="1" applyFont="1" applyAlignment="1">
      <alignment horizontal="center"/>
    </xf>
    <xf numFmtId="166" fontId="13" fillId="0" borderId="0" xfId="0" applyNumberFormat="1" applyFont="1"/>
    <xf numFmtId="169" fontId="13" fillId="0" borderId="0" xfId="0" applyNumberFormat="1" applyFont="1"/>
    <xf numFmtId="173" fontId="14" fillId="0" borderId="31" xfId="0" applyNumberFormat="1" applyFont="1" applyBorder="1"/>
    <xf numFmtId="173" fontId="14" fillId="0" borderId="32" xfId="0" applyNumberFormat="1" applyFont="1" applyBorder="1"/>
    <xf numFmtId="169" fontId="13" fillId="0" borderId="0" xfId="0" applyNumberFormat="1" applyFont="1" applyAlignment="1">
      <alignment horizontal="center"/>
    </xf>
    <xf numFmtId="173" fontId="14" fillId="0" borderId="24" xfId="0" applyNumberFormat="1" applyFont="1" applyBorder="1"/>
    <xf numFmtId="173" fontId="14" fillId="0" borderId="33" xfId="0" applyNumberFormat="1" applyFont="1" applyBorder="1"/>
    <xf numFmtId="0" fontId="18" fillId="0" borderId="0" xfId="0" applyFont="1" applyBorder="1" applyAlignment="1">
      <alignment horizontal="left"/>
    </xf>
    <xf numFmtId="170" fontId="15" fillId="0" borderId="0" xfId="0" applyNumberFormat="1" applyFont="1" applyBorder="1"/>
    <xf numFmtId="0" fontId="17" fillId="0" borderId="0" xfId="0" applyFont="1" applyBorder="1"/>
    <xf numFmtId="0" fontId="17" fillId="0" borderId="11" xfId="0" applyFont="1" applyBorder="1" applyAlignment="1">
      <alignment horizontal="right"/>
    </xf>
    <xf numFmtId="0" fontId="13" fillId="0" borderId="24" xfId="0" applyFont="1" applyFill="1" applyBorder="1" applyAlignment="1">
      <alignment horizontal="center" vertical="center"/>
    </xf>
    <xf numFmtId="173" fontId="14" fillId="0" borderId="34" xfId="0" applyNumberFormat="1" applyFont="1" applyBorder="1"/>
    <xf numFmtId="170" fontId="13" fillId="0" borderId="0" xfId="0" applyNumberFormat="1" applyFont="1" applyBorder="1"/>
    <xf numFmtId="170" fontId="13" fillId="0" borderId="0" xfId="0" applyNumberFormat="1" applyFont="1"/>
    <xf numFmtId="0" fontId="13" fillId="0" borderId="11" xfId="0" applyFont="1" applyFill="1" applyBorder="1" applyAlignment="1">
      <alignment horizontal="left" indent="1"/>
    </xf>
    <xf numFmtId="0" fontId="14" fillId="0" borderId="11" xfId="0" applyFont="1" applyBorder="1"/>
    <xf numFmtId="0" fontId="14" fillId="0" borderId="11" xfId="0" applyFont="1" applyFill="1" applyBorder="1"/>
    <xf numFmtId="0" fontId="17" fillId="0" borderId="11" xfId="0" applyFont="1" applyBorder="1"/>
    <xf numFmtId="168" fontId="14" fillId="0" borderId="0" xfId="0" applyNumberFormat="1" applyFont="1" applyBorder="1"/>
    <xf numFmtId="0" fontId="13" fillId="0" borderId="16" xfId="0" applyFont="1" applyBorder="1"/>
    <xf numFmtId="0" fontId="14" fillId="0" borderId="35" xfId="0" applyFont="1" applyBorder="1"/>
    <xf numFmtId="165" fontId="13" fillId="0" borderId="0" xfId="28" applyFont="1" applyBorder="1"/>
    <xf numFmtId="0" fontId="14" fillId="0" borderId="16" xfId="0" applyFont="1" applyBorder="1"/>
    <xf numFmtId="0" fontId="18" fillId="0" borderId="0" xfId="0" applyFont="1"/>
    <xf numFmtId="0" fontId="13" fillId="0" borderId="0" xfId="0" applyFont="1" applyFill="1" applyBorder="1"/>
    <xf numFmtId="170" fontId="13" fillId="0" borderId="0" xfId="0" applyNumberFormat="1" applyFont="1" applyFill="1" applyBorder="1"/>
    <xf numFmtId="9" fontId="13" fillId="0" borderId="0" xfId="42" applyFont="1"/>
    <xf numFmtId="173" fontId="13" fillId="0" borderId="36" xfId="0" applyNumberFormat="1" applyFont="1" applyBorder="1"/>
    <xf numFmtId="0" fontId="13" fillId="0" borderId="0" xfId="0" applyFont="1" applyFill="1"/>
    <xf numFmtId="173" fontId="13" fillId="0" borderId="36" xfId="0" applyNumberFormat="1" applyFont="1" applyFill="1" applyBorder="1"/>
    <xf numFmtId="173" fontId="14" fillId="0" borderId="22" xfId="0" applyNumberFormat="1" applyFont="1" applyFill="1" applyBorder="1"/>
    <xf numFmtId="170" fontId="13" fillId="0" borderId="22" xfId="0" applyNumberFormat="1" applyFont="1" applyBorder="1"/>
    <xf numFmtId="170" fontId="13" fillId="0" borderId="26" xfId="0" applyNumberFormat="1" applyFont="1" applyBorder="1"/>
    <xf numFmtId="0" fontId="13" fillId="0" borderId="11" xfId="0" applyFont="1" applyFill="1" applyBorder="1"/>
    <xf numFmtId="0" fontId="14" fillId="0" borderId="11" xfId="0" applyFont="1" applyBorder="1" applyAlignment="1">
      <alignment horizontal="left" indent="1"/>
    </xf>
    <xf numFmtId="0" fontId="13" fillId="0" borderId="11" xfId="0" applyFont="1" applyBorder="1" applyAlignment="1">
      <alignment horizontal="left" indent="2"/>
    </xf>
    <xf numFmtId="173" fontId="13" fillId="0" borderId="37" xfId="0" applyNumberFormat="1" applyFont="1" applyBorder="1"/>
    <xf numFmtId="173" fontId="14" fillId="0" borderId="10" xfId="0" applyNumberFormat="1" applyFont="1" applyBorder="1"/>
    <xf numFmtId="173" fontId="14" fillId="0" borderId="37" xfId="0" applyNumberFormat="1" applyFont="1" applyBorder="1"/>
    <xf numFmtId="0" fontId="13" fillId="0" borderId="11" xfId="0" applyFont="1" applyBorder="1" applyAlignment="1">
      <alignment horizontal="left" wrapText="1" indent="1"/>
    </xf>
    <xf numFmtId="173" fontId="14" fillId="0" borderId="38" xfId="0" applyNumberFormat="1" applyFont="1" applyBorder="1"/>
    <xf numFmtId="0" fontId="14" fillId="0" borderId="27" xfId="0" applyFont="1" applyFill="1" applyBorder="1"/>
    <xf numFmtId="0" fontId="13" fillId="0" borderId="0" xfId="0" applyFont="1" applyFill="1" applyBorder="1" applyAlignment="1">
      <alignment horizontal="center"/>
    </xf>
    <xf numFmtId="173" fontId="13" fillId="0" borderId="24" xfId="0" applyNumberFormat="1" applyFont="1" applyBorder="1"/>
    <xf numFmtId="173" fontId="13" fillId="0" borderId="33" xfId="0" applyNumberFormat="1" applyFont="1" applyBorder="1"/>
    <xf numFmtId="170" fontId="13" fillId="0" borderId="0" xfId="28" applyNumberFormat="1" applyFont="1" applyBorder="1"/>
    <xf numFmtId="166" fontId="13" fillId="0" borderId="0" xfId="28" applyNumberFormat="1" applyFont="1" applyBorder="1"/>
    <xf numFmtId="0" fontId="13" fillId="0" borderId="19" xfId="0" applyFont="1" applyBorder="1" applyAlignment="1">
      <alignment horizontal="center"/>
    </xf>
    <xf numFmtId="169" fontId="13" fillId="0" borderId="10" xfId="42" applyNumberFormat="1" applyFont="1" applyFill="1" applyBorder="1" applyAlignment="1">
      <alignment horizontal="center" vertical="top" wrapText="1"/>
    </xf>
    <xf numFmtId="0" fontId="17" fillId="0" borderId="0" xfId="0" applyFont="1"/>
    <xf numFmtId="0" fontId="16" fillId="0" borderId="15" xfId="0" applyFont="1" applyBorder="1" applyAlignment="1">
      <alignment horizontal="left" wrapText="1"/>
    </xf>
    <xf numFmtId="0" fontId="13" fillId="0" borderId="11" xfId="0" applyFont="1" applyBorder="1" applyAlignment="1">
      <alignment horizontal="left" vertical="top" wrapText="1"/>
    </xf>
    <xf numFmtId="169" fontId="13" fillId="0" borderId="22" xfId="42" applyNumberFormat="1" applyFont="1" applyFill="1" applyBorder="1" applyAlignment="1">
      <alignment horizontal="center" vertical="top" wrapText="1"/>
    </xf>
    <xf numFmtId="169" fontId="13" fillId="0" borderId="0" xfId="42" applyNumberFormat="1" applyFont="1" applyFill="1" applyBorder="1" applyAlignment="1">
      <alignment horizontal="center" vertical="top" wrapText="1"/>
    </xf>
    <xf numFmtId="0" fontId="13" fillId="0" borderId="11" xfId="0" applyFont="1" applyBorder="1" applyAlignment="1">
      <alignment horizontal="left" vertical="top" wrapText="1" indent="1"/>
    </xf>
    <xf numFmtId="0" fontId="16" fillId="0" borderId="11" xfId="0" applyFont="1" applyBorder="1" applyAlignment="1">
      <alignment horizontal="left" wrapText="1"/>
    </xf>
    <xf numFmtId="0" fontId="16" fillId="0" borderId="11" xfId="0" applyFont="1" applyBorder="1" applyAlignment="1">
      <alignment horizontal="left" vertical="top" wrapText="1"/>
    </xf>
    <xf numFmtId="0" fontId="13" fillId="0" borderId="16" xfId="0" applyFont="1" applyBorder="1" applyAlignment="1">
      <alignment horizontal="left" indent="1"/>
    </xf>
    <xf numFmtId="0" fontId="13" fillId="0" borderId="39"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9" fontId="13" fillId="0" borderId="24" xfId="42" applyFont="1" applyBorder="1" applyAlignment="1">
      <alignment horizontal="center"/>
    </xf>
    <xf numFmtId="173" fontId="13" fillId="0" borderId="10" xfId="0" applyNumberFormat="1" applyFont="1" applyBorder="1"/>
    <xf numFmtId="166" fontId="13" fillId="0" borderId="0" xfId="28" applyNumberFormat="1" applyFont="1" applyFill="1" applyBorder="1"/>
    <xf numFmtId="0" fontId="16" fillId="0" borderId="40" xfId="0" applyFont="1" applyBorder="1"/>
    <xf numFmtId="0" fontId="14" fillId="0" borderId="41" xfId="0" applyFont="1" applyFill="1" applyBorder="1" applyAlignment="1">
      <alignment horizontal="centerContinuous" vertical="center" wrapText="1"/>
    </xf>
    <xf numFmtId="0" fontId="14" fillId="0" borderId="20" xfId="0" applyFont="1" applyFill="1" applyBorder="1" applyAlignment="1">
      <alignment horizontal="centerContinuous" vertical="center" wrapText="1"/>
    </xf>
    <xf numFmtId="0" fontId="14" fillId="0" borderId="42" xfId="0" applyFont="1" applyFill="1" applyBorder="1" applyAlignment="1">
      <alignment horizontal="centerContinuous"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173" fontId="13" fillId="0" borderId="46" xfId="0" applyNumberFormat="1" applyFont="1" applyBorder="1"/>
    <xf numFmtId="173" fontId="14" fillId="0" borderId="47" xfId="0" applyNumberFormat="1" applyFont="1" applyBorder="1"/>
    <xf numFmtId="9" fontId="14" fillId="0" borderId="22" xfId="42" applyFont="1" applyBorder="1" applyAlignment="1">
      <alignment horizontal="center"/>
    </xf>
    <xf numFmtId="9" fontId="14" fillId="0" borderId="0" xfId="42" applyFont="1" applyBorder="1" applyAlignment="1">
      <alignment horizontal="center"/>
    </xf>
    <xf numFmtId="0" fontId="17" fillId="0" borderId="0" xfId="0" applyFont="1" applyFill="1" applyAlignment="1">
      <alignment horizontal="center"/>
    </xf>
    <xf numFmtId="0" fontId="14" fillId="0" borderId="4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6" fillId="0" borderId="39" xfId="0" applyNumberFormat="1" applyFont="1" applyBorder="1"/>
    <xf numFmtId="0" fontId="13" fillId="0" borderId="10" xfId="0" applyNumberFormat="1" applyFont="1" applyBorder="1" applyAlignment="1">
      <alignment horizontal="left" indent="1"/>
    </xf>
    <xf numFmtId="0" fontId="14" fillId="0" borderId="10" xfId="0" applyNumberFormat="1" applyFont="1" applyBorder="1"/>
    <xf numFmtId="0" fontId="13" fillId="0" borderId="19" xfId="0" applyNumberFormat="1" applyFont="1" applyBorder="1"/>
    <xf numFmtId="0" fontId="16" fillId="0" borderId="10" xfId="0" applyNumberFormat="1" applyFont="1" applyBorder="1"/>
    <xf numFmtId="171" fontId="13" fillId="0" borderId="0" xfId="0" applyNumberFormat="1" applyFont="1"/>
    <xf numFmtId="0" fontId="13" fillId="0" borderId="19" xfId="0" applyFont="1" applyBorder="1"/>
    <xf numFmtId="0" fontId="14" fillId="0" borderId="42" xfId="0" applyFont="1" applyFill="1" applyBorder="1" applyAlignment="1">
      <alignment horizontal="center" vertical="center" wrapText="1"/>
    </xf>
    <xf numFmtId="0" fontId="14" fillId="0" borderId="10" xfId="0" applyFont="1" applyFill="1" applyBorder="1" applyAlignment="1">
      <alignment horizontal="center" vertical="center" wrapText="1"/>
    </xf>
    <xf numFmtId="173" fontId="13" fillId="0" borderId="38" xfId="0" applyNumberFormat="1" applyFont="1" applyBorder="1"/>
    <xf numFmtId="173" fontId="13" fillId="0" borderId="31" xfId="0" applyNumberFormat="1" applyFont="1" applyBorder="1"/>
    <xf numFmtId="0" fontId="12" fillId="0" borderId="0" xfId="0" applyFont="1" applyFill="1" applyBorder="1" applyAlignment="1">
      <alignment horizontal="left"/>
    </xf>
    <xf numFmtId="0" fontId="14" fillId="0" borderId="3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3" fillId="0" borderId="22" xfId="0" applyFont="1" applyBorder="1"/>
    <xf numFmtId="0" fontId="13" fillId="0" borderId="10" xfId="0" applyFont="1" applyBorder="1"/>
    <xf numFmtId="0" fontId="14" fillId="0" borderId="0"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4" fillId="0" borderId="39" xfId="0" applyFont="1" applyBorder="1" applyAlignment="1">
      <alignment horizontal="center"/>
    </xf>
    <xf numFmtId="0" fontId="13" fillId="0" borderId="10" xfId="0" applyFont="1" applyFill="1" applyBorder="1" applyAlignment="1">
      <alignment horizontal="center"/>
    </xf>
    <xf numFmtId="0" fontId="13" fillId="0" borderId="10" xfId="0" applyFont="1" applyFill="1" applyBorder="1"/>
    <xf numFmtId="9" fontId="14" fillId="0" borderId="10" xfId="42" applyFont="1" applyBorder="1" applyAlignment="1">
      <alignment horizontal="center"/>
    </xf>
    <xf numFmtId="0" fontId="13" fillId="0" borderId="10" xfId="0" applyFont="1" applyBorder="1" applyAlignment="1">
      <alignment horizontal="left" vertical="top" wrapText="1"/>
    </xf>
    <xf numFmtId="0" fontId="19" fillId="0" borderId="10" xfId="0" applyFont="1" applyBorder="1" applyAlignment="1">
      <alignment horizontal="center"/>
    </xf>
    <xf numFmtId="170" fontId="13" fillId="0" borderId="19" xfId="0" applyNumberFormat="1" applyFont="1" applyBorder="1"/>
    <xf numFmtId="0" fontId="13" fillId="0" borderId="19" xfId="0" applyFont="1" applyFill="1" applyBorder="1"/>
    <xf numFmtId="0" fontId="13" fillId="0" borderId="19" xfId="0" applyFont="1" applyBorder="1" applyAlignment="1">
      <alignment horizontal="left" vertical="top" wrapText="1"/>
    </xf>
    <xf numFmtId="0" fontId="13" fillId="0" borderId="39" xfId="0" applyFont="1" applyBorder="1"/>
    <xf numFmtId="0" fontId="16" fillId="0" borderId="39" xfId="0" applyFont="1" applyBorder="1"/>
    <xf numFmtId="170" fontId="14" fillId="0" borderId="10" xfId="0" applyNumberFormat="1" applyFont="1" applyFill="1" applyBorder="1"/>
    <xf numFmtId="0" fontId="16" fillId="0" borderId="15" xfId="0" applyFont="1" applyBorder="1"/>
    <xf numFmtId="0" fontId="13" fillId="0" borderId="0" xfId="0" applyFont="1" applyBorder="1" applyAlignment="1">
      <alignment horizontal="left"/>
    </xf>
    <xf numFmtId="0" fontId="13" fillId="0" borderId="13" xfId="0" applyFont="1" applyBorder="1"/>
    <xf numFmtId="0" fontId="13" fillId="0" borderId="11" xfId="0" applyFont="1" applyBorder="1" applyAlignment="1"/>
    <xf numFmtId="0" fontId="13" fillId="0" borderId="39" xfId="0" applyFont="1" applyBorder="1" applyAlignment="1">
      <alignment horizontal="center"/>
    </xf>
    <xf numFmtId="0" fontId="13" fillId="0" borderId="19"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46" xfId="0" applyFont="1" applyFill="1" applyBorder="1" applyAlignment="1">
      <alignment horizontal="center" vertical="center" wrapText="1"/>
    </xf>
    <xf numFmtId="173" fontId="13" fillId="0" borderId="50" xfId="0" applyNumberFormat="1" applyFont="1" applyBorder="1"/>
    <xf numFmtId="0" fontId="13" fillId="0" borderId="26" xfId="0" applyFont="1" applyFill="1" applyBorder="1"/>
    <xf numFmtId="0" fontId="13" fillId="0" borderId="22" xfId="0" applyFont="1" applyFill="1" applyBorder="1"/>
    <xf numFmtId="0" fontId="13" fillId="0" borderId="46" xfId="0" applyFont="1" applyFill="1" applyBorder="1"/>
    <xf numFmtId="173" fontId="14" fillId="0" borderId="46" xfId="0" applyNumberFormat="1" applyFont="1" applyBorder="1"/>
    <xf numFmtId="173" fontId="13" fillId="0" borderId="51" xfId="0" applyNumberFormat="1" applyFont="1" applyBorder="1"/>
    <xf numFmtId="172" fontId="13" fillId="0" borderId="26" xfId="0" applyNumberFormat="1" applyFont="1" applyBorder="1"/>
    <xf numFmtId="172" fontId="13" fillId="0" borderId="10" xfId="0" applyNumberFormat="1" applyFont="1" applyBorder="1"/>
    <xf numFmtId="171" fontId="13" fillId="0" borderId="19" xfId="0" applyNumberFormat="1" applyFont="1" applyFill="1" applyBorder="1"/>
    <xf numFmtId="0" fontId="14" fillId="0" borderId="52" xfId="0" applyFont="1" applyFill="1" applyBorder="1" applyAlignment="1">
      <alignment horizontal="center" vertical="center" wrapText="1"/>
    </xf>
    <xf numFmtId="9" fontId="13" fillId="0" borderId="22" xfId="42" applyFont="1" applyFill="1" applyBorder="1" applyAlignment="1">
      <alignment horizontal="center"/>
    </xf>
    <xf numFmtId="172" fontId="13" fillId="0" borderId="46" xfId="0" applyNumberFormat="1" applyFont="1" applyBorder="1"/>
    <xf numFmtId="171" fontId="13" fillId="0" borderId="33" xfId="0" applyNumberFormat="1" applyFont="1" applyFill="1" applyBorder="1"/>
    <xf numFmtId="171" fontId="13" fillId="0" borderId="24" xfId="0" applyNumberFormat="1" applyFont="1" applyFill="1" applyBorder="1"/>
    <xf numFmtId="171" fontId="13" fillId="0" borderId="50" xfId="0" applyNumberFormat="1" applyFont="1" applyFill="1" applyBorder="1"/>
    <xf numFmtId="9" fontId="14" fillId="0" borderId="43" xfId="42" applyFont="1" applyFill="1" applyBorder="1" applyAlignment="1">
      <alignment horizontal="center" vertical="center" wrapText="1"/>
    </xf>
    <xf numFmtId="174" fontId="14" fillId="0" borderId="22" xfId="42" applyNumberFormat="1" applyFont="1" applyBorder="1"/>
    <xf numFmtId="174" fontId="13" fillId="0" borderId="22" xfId="42" applyNumberFormat="1" applyFont="1" applyBorder="1"/>
    <xf numFmtId="174" fontId="13" fillId="0" borderId="36" xfId="42" applyNumberFormat="1" applyFont="1" applyBorder="1"/>
    <xf numFmtId="172" fontId="13" fillId="0" borderId="19" xfId="0" applyNumberFormat="1" applyFont="1" applyBorder="1"/>
    <xf numFmtId="172" fontId="13" fillId="0" borderId="33" xfId="0" applyNumberFormat="1" applyFont="1" applyBorder="1"/>
    <xf numFmtId="174" fontId="13" fillId="0" borderId="24" xfId="42" applyNumberFormat="1" applyFont="1" applyBorder="1"/>
    <xf numFmtId="172" fontId="13" fillId="0" borderId="50" xfId="0" applyNumberFormat="1" applyFont="1" applyBorder="1"/>
    <xf numFmtId="172" fontId="13" fillId="0" borderId="39" xfId="0" applyNumberFormat="1" applyFont="1" applyBorder="1"/>
    <xf numFmtId="172" fontId="13" fillId="0" borderId="25" xfId="0" applyNumberFormat="1" applyFont="1" applyBorder="1"/>
    <xf numFmtId="174" fontId="13" fillId="0" borderId="23" xfId="42" applyNumberFormat="1" applyFont="1" applyBorder="1"/>
    <xf numFmtId="172" fontId="13" fillId="0" borderId="53" xfId="0" applyNumberFormat="1" applyFont="1" applyBorder="1"/>
    <xf numFmtId="172" fontId="13" fillId="25" borderId="22" xfId="0" applyNumberFormat="1" applyFont="1" applyFill="1" applyBorder="1"/>
    <xf numFmtId="172" fontId="13" fillId="25" borderId="24" xfId="0" applyNumberFormat="1" applyFont="1" applyFill="1" applyBorder="1"/>
    <xf numFmtId="174" fontId="13" fillId="25" borderId="22" xfId="42" applyNumberFormat="1" applyFont="1" applyFill="1" applyBorder="1"/>
    <xf numFmtId="174" fontId="13" fillId="25" borderId="24" xfId="42" applyNumberFormat="1" applyFont="1" applyFill="1" applyBorder="1"/>
    <xf numFmtId="0" fontId="17" fillId="0" borderId="0" xfId="0" applyFont="1" applyFill="1"/>
    <xf numFmtId="0" fontId="13" fillId="0" borderId="33" xfId="0" applyFont="1" applyFill="1" applyBorder="1" applyAlignment="1">
      <alignment horizontal="center" vertical="center"/>
    </xf>
    <xf numFmtId="0" fontId="13" fillId="0" borderId="50" xfId="0" applyFont="1" applyFill="1" applyBorder="1" applyAlignment="1">
      <alignment horizontal="center" vertical="center"/>
    </xf>
    <xf numFmtId="0" fontId="14" fillId="0" borderId="11" xfId="0" applyFont="1" applyFill="1" applyBorder="1" applyAlignment="1">
      <alignment horizontal="left" vertical="center"/>
    </xf>
    <xf numFmtId="173" fontId="13" fillId="0" borderId="19" xfId="0" applyNumberFormat="1" applyFont="1" applyBorder="1"/>
    <xf numFmtId="0" fontId="14" fillId="0" borderId="53" xfId="0" applyFont="1" applyBorder="1" applyAlignment="1">
      <alignment horizontal="center"/>
    </xf>
    <xf numFmtId="9" fontId="14" fillId="0" borderId="22" xfId="42" applyFont="1" applyFill="1" applyBorder="1" applyAlignment="1">
      <alignment horizontal="center" vertical="center" wrapText="1"/>
    </xf>
    <xf numFmtId="0" fontId="13" fillId="0" borderId="26" xfId="0" applyFont="1" applyBorder="1"/>
    <xf numFmtId="0" fontId="14" fillId="0" borderId="21" xfId="0" applyFont="1" applyFill="1" applyBorder="1" applyAlignment="1">
      <alignment horizontal="centerContinuous" vertical="center" wrapText="1"/>
    </xf>
    <xf numFmtId="0" fontId="14" fillId="0" borderId="44" xfId="0" applyFont="1" applyFill="1" applyBorder="1" applyAlignment="1">
      <alignment horizontal="centerContinuous" vertical="center" wrapText="1"/>
    </xf>
    <xf numFmtId="0" fontId="14" fillId="0" borderId="48" xfId="0" applyFont="1" applyFill="1" applyBorder="1" applyAlignment="1">
      <alignment horizontal="centerContinuous" vertical="center" wrapText="1"/>
    </xf>
    <xf numFmtId="0" fontId="13" fillId="0" borderId="54" xfId="0" applyNumberFormat="1" applyFont="1" applyBorder="1" applyAlignment="1">
      <alignment horizontal="left" indent="1"/>
    </xf>
    <xf numFmtId="0" fontId="13" fillId="0" borderId="55" xfId="0" applyFont="1" applyBorder="1" applyAlignment="1">
      <alignment horizontal="center"/>
    </xf>
    <xf numFmtId="173" fontId="14" fillId="0" borderId="50" xfId="0" applyNumberFormat="1" applyFont="1" applyBorder="1"/>
    <xf numFmtId="173" fontId="14" fillId="0" borderId="56" xfId="0" applyNumberFormat="1" applyFont="1" applyBorder="1"/>
    <xf numFmtId="0" fontId="13" fillId="0" borderId="38" xfId="0" applyFont="1" applyBorder="1" applyAlignment="1">
      <alignment horizontal="center"/>
    </xf>
    <xf numFmtId="0" fontId="14" fillId="0" borderId="26" xfId="0" applyFont="1" applyBorder="1" applyAlignment="1">
      <alignment horizontal="center"/>
    </xf>
    <xf numFmtId="0" fontId="14" fillId="0" borderId="22" xfId="0" applyFont="1" applyBorder="1" applyAlignment="1">
      <alignment horizontal="center"/>
    </xf>
    <xf numFmtId="0" fontId="14" fillId="0" borderId="46" xfId="0" applyFont="1" applyBorder="1" applyAlignment="1">
      <alignment horizontal="center"/>
    </xf>
    <xf numFmtId="0" fontId="13" fillId="0" borderId="33" xfId="0" applyFont="1" applyBorder="1"/>
    <xf numFmtId="0" fontId="13" fillId="0" borderId="24" xfId="0" applyFont="1" applyBorder="1"/>
    <xf numFmtId="9" fontId="14" fillId="0" borderId="24" xfId="42" applyFont="1" applyFill="1" applyBorder="1" applyAlignment="1">
      <alignment horizontal="center" vertical="center"/>
    </xf>
    <xf numFmtId="173" fontId="14" fillId="0" borderId="55" xfId="0" applyNumberFormat="1" applyFont="1" applyBorder="1"/>
    <xf numFmtId="173" fontId="14" fillId="0" borderId="19" xfId="0" applyNumberFormat="1" applyFont="1" applyBorder="1"/>
    <xf numFmtId="0" fontId="14" fillId="0" borderId="57" xfId="0" applyFont="1" applyFill="1" applyBorder="1" applyAlignment="1">
      <alignment horizontal="centerContinuous" vertical="center" wrapText="1"/>
    </xf>
    <xf numFmtId="0" fontId="13" fillId="0" borderId="58" xfId="0" applyFont="1" applyBorder="1"/>
    <xf numFmtId="0" fontId="13" fillId="0" borderId="59" xfId="0" applyFont="1" applyBorder="1" applyAlignment="1">
      <alignment horizontal="left" indent="1"/>
    </xf>
    <xf numFmtId="0" fontId="13" fillId="0" borderId="54" xfId="0" applyFont="1" applyBorder="1" applyAlignment="1">
      <alignment horizontal="center"/>
    </xf>
    <xf numFmtId="173" fontId="13" fillId="0" borderId="54" xfId="0" applyNumberFormat="1" applyFont="1" applyBorder="1"/>
    <xf numFmtId="0" fontId="14" fillId="0" borderId="11" xfId="0" applyFont="1" applyBorder="1" applyAlignment="1">
      <alignment vertical="top" wrapText="1"/>
    </xf>
    <xf numFmtId="0" fontId="13" fillId="0" borderId="10" xfId="0" applyFont="1" applyBorder="1" applyAlignment="1">
      <alignment horizontal="center" vertical="top"/>
    </xf>
    <xf numFmtId="173" fontId="14" fillId="0" borderId="10" xfId="0" applyNumberFormat="1" applyFont="1" applyBorder="1" applyAlignment="1">
      <alignment vertical="top"/>
    </xf>
    <xf numFmtId="173" fontId="14" fillId="0" borderId="26" xfId="0" applyNumberFormat="1" applyFont="1" applyBorder="1" applyAlignment="1">
      <alignment vertical="top"/>
    </xf>
    <xf numFmtId="173" fontId="14" fillId="0" borderId="22" xfId="0" applyNumberFormat="1" applyFont="1" applyBorder="1" applyAlignment="1">
      <alignment vertical="top"/>
    </xf>
    <xf numFmtId="173" fontId="14" fillId="0" borderId="46" xfId="0" applyNumberFormat="1" applyFont="1" applyBorder="1" applyAlignment="1">
      <alignment vertical="top"/>
    </xf>
    <xf numFmtId="0" fontId="13" fillId="0" borderId="59" xfId="0" applyFont="1" applyBorder="1" applyAlignment="1">
      <alignment horizontal="left" wrapText="1" indent="1"/>
    </xf>
    <xf numFmtId="0" fontId="14" fillId="0" borderId="60" xfId="0" applyFont="1" applyFill="1" applyBorder="1" applyAlignment="1">
      <alignment horizontal="center" vertical="center" wrapText="1"/>
    </xf>
    <xf numFmtId="173" fontId="13" fillId="0" borderId="45" xfId="0" applyNumberFormat="1" applyFont="1" applyBorder="1"/>
    <xf numFmtId="173" fontId="14" fillId="0" borderId="45" xfId="0" applyNumberFormat="1" applyFont="1" applyBorder="1"/>
    <xf numFmtId="173" fontId="14" fillId="0" borderId="61" xfId="0" applyNumberFormat="1" applyFont="1" applyBorder="1"/>
    <xf numFmtId="173" fontId="13" fillId="0" borderId="55" xfId="0" applyNumberFormat="1" applyFont="1" applyBorder="1"/>
    <xf numFmtId="173" fontId="13" fillId="0" borderId="61" xfId="0" applyNumberFormat="1" applyFont="1" applyBorder="1"/>
    <xf numFmtId="173" fontId="13" fillId="0" borderId="47" xfId="0" applyNumberFormat="1" applyFont="1" applyBorder="1"/>
    <xf numFmtId="173" fontId="13" fillId="0" borderId="62" xfId="0" applyNumberFormat="1" applyFont="1" applyBorder="1"/>
    <xf numFmtId="173" fontId="14" fillId="0" borderId="58" xfId="0" applyNumberFormat="1" applyFont="1" applyBorder="1"/>
    <xf numFmtId="170" fontId="13" fillId="0" borderId="46" xfId="0" applyNumberFormat="1" applyFont="1" applyBorder="1"/>
    <xf numFmtId="0" fontId="14" fillId="0" borderId="63" xfId="0" applyFont="1" applyBorder="1" applyAlignment="1">
      <alignment horizontal="center"/>
    </xf>
    <xf numFmtId="170" fontId="13" fillId="0" borderId="45" xfId="0" applyNumberFormat="1" applyFont="1" applyBorder="1"/>
    <xf numFmtId="0" fontId="14" fillId="0" borderId="39" xfId="0" applyFont="1" applyFill="1" applyBorder="1" applyAlignment="1">
      <alignment horizontal="centerContinuous" vertical="center" wrapText="1"/>
    </xf>
    <xf numFmtId="0" fontId="14" fillId="0" borderId="15" xfId="0" applyFont="1" applyFill="1" applyBorder="1" applyAlignment="1">
      <alignment horizontal="center" vertical="center" wrapText="1"/>
    </xf>
    <xf numFmtId="173" fontId="14" fillId="0" borderId="64" xfId="0" applyNumberFormat="1" applyFont="1" applyBorder="1"/>
    <xf numFmtId="0" fontId="14" fillId="0" borderId="15" xfId="0" applyFont="1" applyBorder="1"/>
    <xf numFmtId="173" fontId="13" fillId="25" borderId="22" xfId="0" applyNumberFormat="1" applyFont="1" applyFill="1" applyBorder="1"/>
    <xf numFmtId="173" fontId="13" fillId="25" borderId="24" xfId="0" applyNumberFormat="1" applyFont="1" applyFill="1" applyBorder="1"/>
    <xf numFmtId="0" fontId="14" fillId="0" borderId="65" xfId="0" applyFont="1" applyFill="1" applyBorder="1" applyAlignment="1">
      <alignment horizontal="centerContinuous" vertical="center" wrapText="1"/>
    </xf>
    <xf numFmtId="169" fontId="13" fillId="0" borderId="46" xfId="42" applyNumberFormat="1" applyFont="1" applyFill="1" applyBorder="1" applyAlignment="1">
      <alignment horizontal="center" vertical="top" wrapText="1"/>
    </xf>
    <xf numFmtId="0" fontId="13" fillId="0" borderId="16" xfId="0" applyFont="1" applyBorder="1" applyAlignment="1">
      <alignment horizontal="left" vertical="top" wrapText="1" indent="1"/>
    </xf>
    <xf numFmtId="9" fontId="13" fillId="0" borderId="63" xfId="0" applyNumberFormat="1" applyFont="1" applyBorder="1" applyAlignment="1">
      <alignment horizontal="center" vertical="top"/>
    </xf>
    <xf numFmtId="9" fontId="13" fillId="0" borderId="23" xfId="0" applyNumberFormat="1" applyFont="1" applyBorder="1" applyAlignment="1">
      <alignment horizontal="center" vertical="top"/>
    </xf>
    <xf numFmtId="9" fontId="13" fillId="0" borderId="53" xfId="0" applyNumberFormat="1" applyFont="1" applyBorder="1" applyAlignment="1">
      <alignment horizontal="center" vertical="top"/>
    </xf>
    <xf numFmtId="0" fontId="16" fillId="0" borderId="11" xfId="0" applyFont="1" applyBorder="1" applyAlignment="1">
      <alignment horizontal="left" vertical="top"/>
    </xf>
    <xf numFmtId="169" fontId="13" fillId="0" borderId="45" xfId="42" applyNumberFormat="1" applyFont="1" applyFill="1" applyBorder="1" applyAlignment="1">
      <alignment horizontal="center" vertical="top" wrapText="1"/>
    </xf>
    <xf numFmtId="0" fontId="16" fillId="0" borderId="10" xfId="0" applyFont="1" applyBorder="1" applyAlignment="1">
      <alignment horizontal="left" vertical="top" wrapText="1"/>
    </xf>
    <xf numFmtId="0" fontId="14" fillId="0" borderId="0" xfId="0" applyFont="1" applyFill="1" applyBorder="1" applyAlignment="1">
      <alignment horizontal="centerContinuous" vertical="center" wrapText="1"/>
    </xf>
    <xf numFmtId="0" fontId="14" fillId="0" borderId="38" xfId="0" applyFont="1" applyBorder="1" applyAlignment="1">
      <alignment horizontal="center"/>
    </xf>
    <xf numFmtId="0" fontId="13" fillId="0" borderId="46" xfId="0" applyFont="1" applyBorder="1"/>
    <xf numFmtId="0" fontId="13" fillId="0" borderId="37" xfId="0" applyFont="1" applyBorder="1"/>
    <xf numFmtId="0" fontId="13" fillId="0" borderId="45" xfId="0" applyFont="1" applyBorder="1"/>
    <xf numFmtId="171" fontId="13" fillId="0" borderId="0" xfId="0" applyNumberFormat="1" applyFont="1" applyFill="1" applyBorder="1"/>
    <xf numFmtId="174" fontId="13" fillId="0" borderId="0" xfId="42" applyNumberFormat="1" applyFont="1" applyBorder="1"/>
    <xf numFmtId="173" fontId="14" fillId="25" borderId="29" xfId="0" applyNumberFormat="1" applyFont="1" applyFill="1" applyBorder="1"/>
    <xf numFmtId="169" fontId="14" fillId="0" borderId="29" xfId="42" applyNumberFormat="1" applyFont="1" applyFill="1" applyBorder="1" applyAlignment="1">
      <alignment horizontal="center" vertical="top" wrapText="1"/>
    </xf>
    <xf numFmtId="0" fontId="14" fillId="0" borderId="59" xfId="0" applyFont="1" applyFill="1" applyBorder="1" applyAlignment="1">
      <alignment horizontal="left" vertical="center"/>
    </xf>
    <xf numFmtId="0" fontId="13" fillId="0" borderId="54" xfId="0" applyFont="1" applyFill="1" applyBorder="1" applyAlignment="1">
      <alignment horizontal="center" vertical="center"/>
    </xf>
    <xf numFmtId="0" fontId="13" fillId="0" borderId="66" xfId="0" applyFont="1" applyBorder="1"/>
    <xf numFmtId="0" fontId="13" fillId="0" borderId="36" xfId="0" applyFont="1" applyBorder="1"/>
    <xf numFmtId="0" fontId="13" fillId="0" borderId="36" xfId="0" applyFont="1" applyFill="1" applyBorder="1" applyAlignment="1">
      <alignment horizontal="center" vertical="center"/>
    </xf>
    <xf numFmtId="9" fontId="14" fillId="0" borderId="36" xfId="42" applyFont="1" applyFill="1" applyBorder="1" applyAlignment="1">
      <alignment horizontal="center" vertical="center"/>
    </xf>
    <xf numFmtId="0" fontId="13" fillId="0" borderId="51" xfId="0" applyFont="1" applyFill="1" applyBorder="1" applyAlignment="1">
      <alignment horizontal="center" vertical="center"/>
    </xf>
    <xf numFmtId="0" fontId="13" fillId="0" borderId="62" xfId="0" applyFont="1" applyBorder="1"/>
    <xf numFmtId="173" fontId="13" fillId="0" borderId="58" xfId="0" applyNumberFormat="1" applyFont="1" applyBorder="1"/>
    <xf numFmtId="170" fontId="14" fillId="0" borderId="26" xfId="0" applyNumberFormat="1" applyFont="1" applyBorder="1"/>
    <xf numFmtId="170" fontId="14" fillId="0" borderId="22" xfId="0" applyNumberFormat="1" applyFont="1" applyBorder="1"/>
    <xf numFmtId="170" fontId="14" fillId="0" borderId="46" xfId="0" applyNumberFormat="1" applyFont="1" applyBorder="1"/>
    <xf numFmtId="169" fontId="14" fillId="0" borderId="22" xfId="42" applyNumberFormat="1" applyFont="1" applyFill="1" applyBorder="1" applyAlignment="1">
      <alignment horizontal="center" vertical="top" wrapText="1"/>
    </xf>
    <xf numFmtId="169" fontId="14" fillId="0" borderId="31" xfId="42" applyNumberFormat="1" applyFont="1" applyFill="1" applyBorder="1" applyAlignment="1">
      <alignment horizontal="center" vertical="top" wrapText="1"/>
    </xf>
    <xf numFmtId="173" fontId="13" fillId="0" borderId="30" xfId="0" applyNumberFormat="1" applyFont="1" applyBorder="1"/>
    <xf numFmtId="173" fontId="13" fillId="0" borderId="29" xfId="0" applyNumberFormat="1" applyFont="1" applyBorder="1"/>
    <xf numFmtId="169" fontId="13" fillId="0" borderId="29" xfId="42" applyNumberFormat="1" applyFont="1" applyFill="1" applyBorder="1" applyAlignment="1">
      <alignment horizontal="center" vertical="top" wrapText="1"/>
    </xf>
    <xf numFmtId="173" fontId="13" fillId="0" borderId="56" xfId="0" applyNumberFormat="1" applyFont="1" applyBorder="1"/>
    <xf numFmtId="0" fontId="13" fillId="0" borderId="67" xfId="0" applyFont="1" applyBorder="1" applyAlignment="1">
      <alignment horizontal="center"/>
    </xf>
    <xf numFmtId="9" fontId="14" fillId="0" borderId="26" xfId="42" applyFont="1" applyBorder="1" applyAlignment="1">
      <alignment horizontal="center"/>
    </xf>
    <xf numFmtId="9" fontId="14" fillId="0" borderId="46" xfId="42" applyFont="1" applyBorder="1" applyAlignment="1">
      <alignment horizontal="center"/>
    </xf>
    <xf numFmtId="169" fontId="14" fillId="0" borderId="46" xfId="42" applyNumberFormat="1" applyFont="1" applyFill="1" applyBorder="1" applyAlignment="1">
      <alignment horizontal="center" vertical="top" wrapText="1"/>
    </xf>
    <xf numFmtId="0" fontId="14" fillId="0" borderId="68" xfId="0" applyFont="1" applyBorder="1"/>
    <xf numFmtId="0" fontId="14" fillId="0" borderId="11" xfId="0" applyFont="1" applyFill="1" applyBorder="1" applyAlignment="1">
      <alignment horizontal="left"/>
    </xf>
    <xf numFmtId="0" fontId="14" fillId="0" borderId="11" xfId="0" applyFont="1" applyFill="1" applyBorder="1" applyAlignment="1">
      <alignment vertical="center" wrapText="1"/>
    </xf>
    <xf numFmtId="0" fontId="14" fillId="0" borderId="37" xfId="0" applyFont="1" applyBorder="1" applyAlignment="1">
      <alignment horizontal="center"/>
    </xf>
    <xf numFmtId="173" fontId="13" fillId="0" borderId="69" xfId="0" applyNumberFormat="1" applyFont="1" applyBorder="1"/>
    <xf numFmtId="0" fontId="14" fillId="0" borderId="35" xfId="0" applyFont="1" applyFill="1" applyBorder="1"/>
    <xf numFmtId="170" fontId="14" fillId="0" borderId="55" xfId="0" applyNumberFormat="1" applyFont="1" applyBorder="1"/>
    <xf numFmtId="173" fontId="14" fillId="0" borderId="70" xfId="0" applyNumberFormat="1" applyFont="1" applyBorder="1"/>
    <xf numFmtId="0" fontId="13" fillId="0" borderId="16" xfId="0" applyFont="1" applyFill="1" applyBorder="1" applyAlignment="1">
      <alignment horizontal="left" indent="1"/>
    </xf>
    <xf numFmtId="0" fontId="17" fillId="0" borderId="11" xfId="0" quotePrefix="1" applyFont="1" applyBorder="1" applyAlignment="1">
      <alignment horizontal="left"/>
    </xf>
    <xf numFmtId="0" fontId="13" fillId="0" borderId="38" xfId="0" applyFont="1" applyFill="1" applyBorder="1" applyAlignment="1">
      <alignment horizontal="center"/>
    </xf>
    <xf numFmtId="169" fontId="13" fillId="0" borderId="36" xfId="42" applyNumberFormat="1" applyFont="1" applyFill="1" applyBorder="1" applyAlignment="1">
      <alignment horizontal="center" vertical="top" wrapText="1"/>
    </xf>
    <xf numFmtId="170" fontId="13" fillId="0" borderId="0" xfId="28" applyNumberFormat="1" applyFont="1" applyFill="1" applyBorder="1"/>
    <xf numFmtId="0" fontId="14" fillId="0" borderId="67" xfId="0" applyFont="1" applyFill="1" applyBorder="1" applyAlignment="1">
      <alignment horizontal="center" vertical="center" wrapText="1"/>
    </xf>
    <xf numFmtId="173" fontId="14" fillId="25" borderId="22" xfId="0" applyNumberFormat="1" applyFont="1" applyFill="1" applyBorder="1"/>
    <xf numFmtId="173" fontId="13" fillId="25" borderId="36" xfId="0" applyNumberFormat="1" applyFont="1" applyFill="1" applyBorder="1"/>
    <xf numFmtId="173" fontId="14" fillId="25" borderId="22" xfId="0" applyNumberFormat="1" applyFont="1" applyFill="1" applyBorder="1" applyAlignment="1">
      <alignment vertical="top"/>
    </xf>
    <xf numFmtId="9" fontId="13" fillId="0" borderId="22" xfId="42" applyFont="1" applyBorder="1" applyAlignment="1">
      <alignment horizontal="center"/>
    </xf>
    <xf numFmtId="9" fontId="14" fillId="0" borderId="31" xfId="42" applyFont="1" applyBorder="1" applyAlignment="1">
      <alignment horizontal="center"/>
    </xf>
    <xf numFmtId="9" fontId="14" fillId="0" borderId="29" xfId="42" applyFont="1" applyBorder="1" applyAlignment="1">
      <alignment horizontal="center"/>
    </xf>
    <xf numFmtId="9" fontId="14" fillId="0" borderId="24" xfId="42" applyFont="1" applyBorder="1" applyAlignment="1">
      <alignment horizontal="center"/>
    </xf>
    <xf numFmtId="173" fontId="14" fillId="25" borderId="24" xfId="0" applyNumberFormat="1" applyFont="1" applyFill="1" applyBorder="1"/>
    <xf numFmtId="9" fontId="13" fillId="0" borderId="36" xfId="42" applyFont="1" applyBorder="1" applyAlignment="1">
      <alignment horizontal="center"/>
    </xf>
    <xf numFmtId="0" fontId="13" fillId="0" borderId="12" xfId="0" applyFont="1" applyBorder="1"/>
    <xf numFmtId="0" fontId="13" fillId="0" borderId="14" xfId="0" applyFont="1" applyBorder="1"/>
    <xf numFmtId="0" fontId="19" fillId="0" borderId="15" xfId="0" applyFont="1" applyBorder="1"/>
    <xf numFmtId="0" fontId="13" fillId="0" borderId="65" xfId="0" applyFont="1" applyBorder="1"/>
    <xf numFmtId="170" fontId="13" fillId="0" borderId="13" xfId="28" applyNumberFormat="1" applyFont="1" applyFill="1" applyBorder="1"/>
    <xf numFmtId="2" fontId="13" fillId="0" borderId="0" xfId="0" applyNumberFormat="1" applyFont="1"/>
    <xf numFmtId="0" fontId="14" fillId="0" borderId="11" xfId="0" quotePrefix="1" applyFont="1" applyBorder="1" applyAlignment="1">
      <alignment horizontal="left" indent="1"/>
    </xf>
    <xf numFmtId="169" fontId="14" fillId="0" borderId="22" xfId="42" applyNumberFormat="1" applyFont="1" applyFill="1" applyBorder="1" applyAlignment="1">
      <alignment horizontal="center" wrapText="1"/>
    </xf>
    <xf numFmtId="9" fontId="14" fillId="0" borderId="22" xfId="42" applyFont="1" applyFill="1" applyBorder="1" applyAlignment="1">
      <alignment horizontal="center" vertical="top" wrapText="1"/>
    </xf>
    <xf numFmtId="0" fontId="16" fillId="0" borderId="10" xfId="0" applyFont="1" applyFill="1" applyBorder="1"/>
    <xf numFmtId="0" fontId="12" fillId="0" borderId="14" xfId="0" applyFont="1" applyFill="1" applyBorder="1" applyAlignment="1"/>
    <xf numFmtId="0" fontId="14" fillId="0" borderId="10" xfId="0" applyNumberFormat="1" applyFont="1" applyBorder="1" applyAlignment="1">
      <alignment wrapText="1"/>
    </xf>
    <xf numFmtId="0" fontId="13" fillId="0" borderId="10" xfId="0" applyNumberFormat="1" applyFont="1" applyBorder="1" applyAlignment="1">
      <alignment horizontal="left" wrapText="1" indent="1"/>
    </xf>
    <xf numFmtId="0" fontId="14" fillId="0" borderId="19" xfId="0" applyNumberFormat="1" applyFont="1" applyBorder="1"/>
    <xf numFmtId="0" fontId="14" fillId="0" borderId="59" xfId="0" applyFont="1" applyBorder="1"/>
    <xf numFmtId="9" fontId="14" fillId="0" borderId="54" xfId="42" applyFont="1" applyBorder="1" applyAlignment="1">
      <alignment horizontal="center"/>
    </xf>
    <xf numFmtId="9" fontId="14" fillId="0" borderId="66" xfId="42" applyFont="1" applyBorder="1" applyAlignment="1">
      <alignment horizontal="center"/>
    </xf>
    <xf numFmtId="9" fontId="14" fillId="0" borderId="36" xfId="42" applyFont="1" applyBorder="1" applyAlignment="1">
      <alignment horizontal="center"/>
    </xf>
    <xf numFmtId="9" fontId="14" fillId="0" borderId="51" xfId="42" applyFont="1" applyBorder="1" applyAlignment="1">
      <alignment horizontal="center"/>
    </xf>
    <xf numFmtId="0" fontId="14" fillId="0" borderId="39" xfId="0" applyFont="1" applyFill="1" applyBorder="1" applyAlignment="1">
      <alignment horizontal="center" vertical="center"/>
    </xf>
    <xf numFmtId="173" fontId="13" fillId="0" borderId="14" xfId="0" applyNumberFormat="1" applyFont="1" applyBorder="1"/>
    <xf numFmtId="173" fontId="13" fillId="0" borderId="17" xfId="0" applyNumberFormat="1" applyFont="1" applyBorder="1"/>
    <xf numFmtId="0" fontId="14" fillId="0" borderId="71" xfId="0" applyFont="1" applyBorder="1"/>
    <xf numFmtId="0" fontId="14" fillId="0" borderId="18" xfId="0" applyFont="1" applyBorder="1"/>
    <xf numFmtId="0" fontId="13" fillId="0" borderId="15" xfId="0" applyFont="1" applyBorder="1"/>
    <xf numFmtId="173" fontId="13" fillId="0" borderId="12" xfId="0" applyNumberFormat="1" applyFont="1" applyBorder="1"/>
    <xf numFmtId="173" fontId="13" fillId="0" borderId="65" xfId="0" applyNumberFormat="1" applyFont="1" applyBorder="1"/>
    <xf numFmtId="0" fontId="13" fillId="0" borderId="71" xfId="0" applyFont="1" applyBorder="1"/>
    <xf numFmtId="0" fontId="13" fillId="0" borderId="18" xfId="0" applyFont="1" applyBorder="1"/>
    <xf numFmtId="0" fontId="12" fillId="0" borderId="15" xfId="0" applyFont="1" applyBorder="1"/>
    <xf numFmtId="0" fontId="12" fillId="0" borderId="68" xfId="0" applyFont="1" applyBorder="1"/>
    <xf numFmtId="0" fontId="14" fillId="0" borderId="72" xfId="0" applyFont="1" applyBorder="1" applyAlignment="1">
      <alignment horizontal="center"/>
    </xf>
    <xf numFmtId="173" fontId="14" fillId="0" borderId="18" xfId="0" applyNumberFormat="1" applyFont="1" applyBorder="1"/>
    <xf numFmtId="0" fontId="10" fillId="24" borderId="71" xfId="0" applyFont="1" applyFill="1" applyBorder="1" applyAlignment="1">
      <alignment horizontal="center"/>
    </xf>
    <xf numFmtId="0" fontId="14" fillId="0" borderId="0" xfId="0" applyFont="1"/>
    <xf numFmtId="0" fontId="10" fillId="0" borderId="0" xfId="0" applyFont="1"/>
    <xf numFmtId="0" fontId="9" fillId="0" borderId="0" xfId="0" applyFont="1" applyProtection="1"/>
    <xf numFmtId="0" fontId="21" fillId="26" borderId="15" xfId="0" applyFont="1" applyFill="1" applyBorder="1"/>
    <xf numFmtId="0" fontId="21" fillId="26" borderId="12" xfId="0" applyFont="1" applyFill="1" applyBorder="1" applyAlignment="1">
      <alignment horizontal="left"/>
    </xf>
    <xf numFmtId="0" fontId="21" fillId="26" borderId="39" xfId="0" applyFont="1" applyFill="1" applyBorder="1" applyAlignment="1">
      <alignment horizontal="left"/>
    </xf>
    <xf numFmtId="0" fontId="21" fillId="26" borderId="15" xfId="0" applyFont="1" applyFill="1" applyBorder="1" applyAlignment="1">
      <alignment horizontal="left"/>
    </xf>
    <xf numFmtId="0" fontId="10" fillId="27" borderId="0" xfId="0" applyFont="1" applyFill="1"/>
    <xf numFmtId="0" fontId="9" fillId="0" borderId="10" xfId="0" applyFont="1" applyBorder="1"/>
    <xf numFmtId="0" fontId="22" fillId="0" borderId="0" xfId="0" applyFont="1"/>
    <xf numFmtId="17" fontId="9" fillId="0" borderId="10" xfId="0" quotePrefix="1" applyNumberFormat="1" applyFont="1" applyBorder="1"/>
    <xf numFmtId="0" fontId="9" fillId="0" borderId="10" xfId="0" quotePrefix="1" applyFont="1" applyBorder="1"/>
    <xf numFmtId="174" fontId="14" fillId="0" borderId="36" xfId="42" applyNumberFormat="1" applyFont="1" applyBorder="1"/>
    <xf numFmtId="173" fontId="13" fillId="28" borderId="26" xfId="0" applyNumberFormat="1" applyFont="1" applyFill="1" applyBorder="1" applyProtection="1">
      <protection locked="0"/>
    </xf>
    <xf numFmtId="173" fontId="13" fillId="28" borderId="22" xfId="0" applyNumberFormat="1" applyFont="1" applyFill="1" applyBorder="1" applyProtection="1">
      <protection locked="0"/>
    </xf>
    <xf numFmtId="173" fontId="13" fillId="0" borderId="46" xfId="0" applyNumberFormat="1" applyFont="1" applyFill="1" applyBorder="1"/>
    <xf numFmtId="0" fontId="16" fillId="0" borderId="10" xfId="0" applyFont="1" applyBorder="1" applyProtection="1"/>
    <xf numFmtId="0" fontId="13" fillId="0" borderId="10" xfId="0" applyFont="1" applyBorder="1" applyProtection="1"/>
    <xf numFmtId="0" fontId="13" fillId="0" borderId="10" xfId="0" applyFont="1" applyBorder="1" applyAlignment="1" applyProtection="1">
      <alignment horizontal="center"/>
    </xf>
    <xf numFmtId="9" fontId="13" fillId="0" borderId="39" xfId="0" applyNumberFormat="1" applyFont="1" applyBorder="1" applyAlignment="1" applyProtection="1">
      <alignment horizontal="center" vertical="top"/>
      <protection locked="0"/>
    </xf>
    <xf numFmtId="169" fontId="13" fillId="0" borderId="10" xfId="42" applyNumberFormat="1" applyFont="1" applyFill="1" applyBorder="1" applyAlignment="1" applyProtection="1">
      <alignment horizontal="center" vertical="top" wrapText="1"/>
    </xf>
    <xf numFmtId="169" fontId="13" fillId="0" borderId="45" xfId="42" applyNumberFormat="1" applyFont="1" applyFill="1" applyBorder="1" applyAlignment="1" applyProtection="1">
      <alignment horizontal="center" vertical="top" wrapText="1"/>
    </xf>
    <xf numFmtId="169" fontId="13" fillId="0" borderId="22" xfId="42" applyNumberFormat="1" applyFont="1" applyFill="1" applyBorder="1" applyAlignment="1" applyProtection="1">
      <alignment horizontal="center" vertical="top" wrapText="1"/>
    </xf>
    <xf numFmtId="169" fontId="13" fillId="0" borderId="46" xfId="42" applyNumberFormat="1" applyFont="1" applyFill="1" applyBorder="1" applyAlignment="1" applyProtection="1">
      <alignment horizontal="center" vertical="top" wrapText="1"/>
    </xf>
    <xf numFmtId="173" fontId="13" fillId="28" borderId="37" xfId="0" applyNumberFormat="1" applyFont="1" applyFill="1" applyBorder="1" applyProtection="1">
      <protection locked="0"/>
    </xf>
    <xf numFmtId="173" fontId="13" fillId="28" borderId="13" xfId="0" applyNumberFormat="1" applyFont="1" applyFill="1" applyBorder="1" applyProtection="1">
      <protection locked="0"/>
    </xf>
    <xf numFmtId="0" fontId="13" fillId="0" borderId="11" xfId="0" quotePrefix="1" applyFont="1" applyFill="1" applyBorder="1" applyAlignment="1">
      <alignment horizontal="left" indent="2"/>
    </xf>
    <xf numFmtId="0" fontId="14" fillId="0" borderId="11" xfId="0" quotePrefix="1" applyFont="1" applyFill="1" applyBorder="1" applyAlignment="1">
      <alignment horizontal="left" indent="1"/>
    </xf>
    <xf numFmtId="0" fontId="17" fillId="0" borderId="11" xfId="0" quotePrefix="1" applyFont="1" applyFill="1" applyBorder="1" applyAlignment="1">
      <alignment horizontal="left" indent="2"/>
    </xf>
    <xf numFmtId="9" fontId="14" fillId="25" borderId="10" xfId="42" applyFont="1" applyFill="1" applyBorder="1" applyAlignment="1">
      <alignment horizontal="center"/>
    </xf>
    <xf numFmtId="170" fontId="13" fillId="25" borderId="10" xfId="0" applyNumberFormat="1" applyFont="1" applyFill="1" applyBorder="1"/>
    <xf numFmtId="169" fontId="14" fillId="25" borderId="22" xfId="42" applyNumberFormat="1" applyFont="1" applyFill="1" applyBorder="1" applyAlignment="1">
      <alignment horizontal="center" vertical="top" wrapText="1"/>
    </xf>
    <xf numFmtId="170" fontId="13" fillId="25" borderId="22" xfId="0" applyNumberFormat="1" applyFont="1" applyFill="1" applyBorder="1"/>
    <xf numFmtId="9" fontId="14" fillId="25" borderId="22" xfId="42" applyFont="1" applyFill="1" applyBorder="1" applyAlignment="1">
      <alignment horizontal="center" vertical="top" wrapText="1"/>
    </xf>
    <xf numFmtId="9" fontId="13" fillId="25" borderId="22" xfId="42" applyFont="1" applyFill="1" applyBorder="1" applyAlignment="1">
      <alignment horizontal="center"/>
    </xf>
    <xf numFmtId="173" fontId="13" fillId="0" borderId="0" xfId="0" applyNumberFormat="1" applyFont="1" applyFill="1" applyBorder="1" applyProtection="1"/>
    <xf numFmtId="0" fontId="12" fillId="0" borderId="0" xfId="0" applyFont="1" applyFill="1" applyBorder="1" applyAlignment="1"/>
    <xf numFmtId="0" fontId="13" fillId="0" borderId="11" xfId="0" applyFont="1" applyFill="1" applyBorder="1" applyAlignment="1" applyProtection="1">
      <alignment horizontal="left" indent="1"/>
    </xf>
    <xf numFmtId="173" fontId="13" fillId="0" borderId="22" xfId="0" applyNumberFormat="1" applyFont="1" applyFill="1" applyBorder="1" applyProtection="1"/>
    <xf numFmtId="173" fontId="13" fillId="0" borderId="36" xfId="0" applyNumberFormat="1" applyFont="1" applyFill="1" applyBorder="1" applyProtection="1"/>
    <xf numFmtId="169" fontId="14" fillId="25" borderId="24" xfId="42" applyNumberFormat="1" applyFont="1" applyFill="1" applyBorder="1" applyAlignment="1">
      <alignment horizontal="center" vertical="top" wrapText="1"/>
    </xf>
    <xf numFmtId="0" fontId="13" fillId="0" borderId="0" xfId="0" quotePrefix="1" applyFont="1" applyBorder="1"/>
    <xf numFmtId="0" fontId="9" fillId="0" borderId="0" xfId="0" applyFont="1" applyBorder="1" applyAlignment="1">
      <alignment horizontal="left"/>
    </xf>
    <xf numFmtId="0" fontId="14" fillId="0" borderId="24" xfId="0" applyFont="1" applyFill="1" applyBorder="1" applyAlignment="1">
      <alignment horizontal="center" vertical="top" wrapText="1"/>
    </xf>
    <xf numFmtId="0" fontId="15" fillId="0" borderId="11" xfId="0" applyNumberFormat="1" applyFont="1" applyFill="1" applyBorder="1" applyAlignment="1" applyProtection="1">
      <alignment horizontal="left" indent="1"/>
    </xf>
    <xf numFmtId="0" fontId="13" fillId="0" borderId="22" xfId="0" applyNumberFormat="1" applyFont="1" applyBorder="1" applyAlignment="1" applyProtection="1">
      <alignment horizontal="center"/>
    </xf>
    <xf numFmtId="0" fontId="13" fillId="0" borderId="11" xfId="0" applyNumberFormat="1" applyFont="1" applyFill="1" applyBorder="1" applyAlignment="1" applyProtection="1">
      <alignment horizontal="left" indent="2"/>
    </xf>
    <xf numFmtId="0" fontId="13" fillId="0" borderId="22" xfId="0" applyNumberFormat="1" applyFont="1" applyFill="1" applyBorder="1" applyAlignment="1" applyProtection="1">
      <alignment horizontal="center"/>
    </xf>
    <xf numFmtId="0" fontId="13" fillId="0" borderId="50" xfId="0" applyFont="1" applyBorder="1" applyAlignment="1">
      <alignment horizontal="center"/>
    </xf>
    <xf numFmtId="0" fontId="13" fillId="0" borderId="46" xfId="0" applyFont="1" applyBorder="1" applyAlignment="1">
      <alignment horizontal="center"/>
    </xf>
    <xf numFmtId="0" fontId="19" fillId="0" borderId="46" xfId="0" applyFont="1" applyBorder="1" applyAlignment="1">
      <alignment horizontal="center"/>
    </xf>
    <xf numFmtId="0" fontId="13" fillId="0" borderId="46" xfId="0" applyFont="1" applyFill="1" applyBorder="1" applyAlignment="1">
      <alignment horizontal="center"/>
    </xf>
    <xf numFmtId="0" fontId="14" fillId="0" borderId="47" xfId="0" applyFont="1" applyBorder="1" applyAlignment="1">
      <alignment horizontal="center"/>
    </xf>
    <xf numFmtId="0" fontId="13" fillId="0" borderId="17" xfId="0" applyFont="1" applyFill="1" applyBorder="1" applyAlignment="1">
      <alignment horizontal="center" vertical="center"/>
    </xf>
    <xf numFmtId="0" fontId="14" fillId="0" borderId="13" xfId="0" applyFont="1" applyBorder="1" applyAlignment="1">
      <alignment horizontal="center"/>
    </xf>
    <xf numFmtId="0" fontId="13" fillId="0" borderId="24" xfId="0" applyFont="1" applyBorder="1" applyAlignment="1">
      <alignment horizontal="center"/>
    </xf>
    <xf numFmtId="0" fontId="13" fillId="0" borderId="22" xfId="0" applyFont="1" applyBorder="1" applyAlignment="1">
      <alignment horizontal="center"/>
    </xf>
    <xf numFmtId="0" fontId="19" fillId="0" borderId="22" xfId="0" applyFont="1" applyBorder="1" applyAlignment="1">
      <alignment horizontal="center"/>
    </xf>
    <xf numFmtId="0" fontId="13" fillId="0" borderId="22" xfId="0" applyFont="1" applyFill="1" applyBorder="1" applyAlignment="1">
      <alignment horizontal="center"/>
    </xf>
    <xf numFmtId="0" fontId="14" fillId="0" borderId="24" xfId="0" applyFont="1" applyBorder="1" applyAlignment="1">
      <alignment horizontal="center"/>
    </xf>
    <xf numFmtId="173" fontId="14" fillId="0" borderId="43" xfId="0" applyNumberFormat="1" applyFont="1" applyBorder="1"/>
    <xf numFmtId="9" fontId="14" fillId="0" borderId="43" xfId="42" applyFont="1" applyBorder="1" applyAlignment="1">
      <alignment horizontal="center"/>
    </xf>
    <xf numFmtId="0" fontId="14" fillId="0" borderId="45" xfId="0" applyFont="1" applyBorder="1" applyAlignment="1">
      <alignment horizontal="center"/>
    </xf>
    <xf numFmtId="0" fontId="12" fillId="0" borderId="14" xfId="0" applyFont="1" applyFill="1" applyBorder="1" applyAlignment="1" applyProtection="1">
      <alignment horizontal="left"/>
    </xf>
    <xf numFmtId="0" fontId="23" fillId="0" borderId="0" xfId="0" applyFont="1"/>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vertical="center"/>
    </xf>
    <xf numFmtId="0" fontId="14" fillId="0" borderId="16"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6" fillId="0" borderId="11" xfId="0" applyFont="1" applyBorder="1" applyProtection="1"/>
    <xf numFmtId="0" fontId="14" fillId="0" borderId="22" xfId="0" applyNumberFormat="1" applyFont="1" applyBorder="1" applyAlignment="1" applyProtection="1">
      <alignment horizontal="center"/>
      <protection locked="0"/>
    </xf>
    <xf numFmtId="173" fontId="14" fillId="0" borderId="22" xfId="0" applyNumberFormat="1" applyFont="1" applyBorder="1" applyAlignment="1">
      <alignment horizontal="right"/>
    </xf>
    <xf numFmtId="173" fontId="14" fillId="0" borderId="13" xfId="0" applyNumberFormat="1" applyFont="1" applyBorder="1" applyAlignment="1">
      <alignment horizontal="right"/>
    </xf>
    <xf numFmtId="173" fontId="14" fillId="0" borderId="0" xfId="0" applyNumberFormat="1" applyFont="1" applyBorder="1" applyAlignment="1">
      <alignment horizontal="right"/>
    </xf>
    <xf numFmtId="173" fontId="14" fillId="0" borderId="26" xfId="0" applyNumberFormat="1" applyFont="1" applyBorder="1" applyAlignment="1">
      <alignment horizontal="right"/>
    </xf>
    <xf numFmtId="0" fontId="13" fillId="0" borderId="22" xfId="0" applyNumberFormat="1" applyFont="1" applyBorder="1" applyAlignment="1" applyProtection="1">
      <alignment horizontal="center"/>
      <protection locked="0"/>
    </xf>
    <xf numFmtId="170" fontId="13" fillId="0" borderId="13" xfId="0" applyNumberFormat="1" applyFont="1" applyBorder="1"/>
    <xf numFmtId="0" fontId="14" fillId="0" borderId="11" xfId="0" applyFont="1" applyBorder="1" applyAlignment="1" applyProtection="1">
      <alignment horizontal="left"/>
    </xf>
    <xf numFmtId="173" fontId="14" fillId="0" borderId="43" xfId="0" applyNumberFormat="1" applyFont="1" applyBorder="1" applyAlignment="1" applyProtection="1">
      <alignment horizontal="right"/>
    </xf>
    <xf numFmtId="173" fontId="14" fillId="0" borderId="73" xfId="0" applyNumberFormat="1" applyFont="1" applyBorder="1" applyAlignment="1" applyProtection="1">
      <alignment horizontal="right"/>
    </xf>
    <xf numFmtId="173" fontId="14" fillId="0" borderId="74" xfId="0" applyNumberFormat="1" applyFont="1" applyBorder="1" applyAlignment="1" applyProtection="1">
      <alignment horizontal="right"/>
    </xf>
    <xf numFmtId="173" fontId="14" fillId="0" borderId="52" xfId="0" applyNumberFormat="1" applyFont="1" applyBorder="1" applyAlignment="1" applyProtection="1">
      <alignment horizontal="right"/>
    </xf>
    <xf numFmtId="170" fontId="14" fillId="0" borderId="18" xfId="0" applyNumberFormat="1" applyFont="1" applyBorder="1"/>
    <xf numFmtId="170" fontId="14" fillId="0" borderId="72" xfId="0" applyNumberFormat="1" applyFont="1" applyBorder="1"/>
    <xf numFmtId="0" fontId="13" fillId="0" borderId="16" xfId="0" applyFont="1" applyBorder="1" applyProtection="1"/>
    <xf numFmtId="0" fontId="13" fillId="0" borderId="24" xfId="0" applyNumberFormat="1" applyFont="1" applyBorder="1" applyAlignment="1" applyProtection="1">
      <alignment horizontal="center"/>
    </xf>
    <xf numFmtId="173" fontId="13" fillId="0" borderId="24" xfId="0" applyNumberFormat="1" applyFont="1" applyBorder="1" applyProtection="1"/>
    <xf numFmtId="173" fontId="13" fillId="0" borderId="17" xfId="0" applyNumberFormat="1" applyFont="1" applyBorder="1" applyProtection="1"/>
    <xf numFmtId="173" fontId="13" fillId="0" borderId="14" xfId="0" applyNumberFormat="1" applyFont="1" applyBorder="1" applyProtection="1"/>
    <xf numFmtId="173" fontId="13" fillId="0" borderId="33" xfId="0" applyNumberFormat="1" applyFont="1" applyBorder="1" applyProtection="1"/>
    <xf numFmtId="0" fontId="16" fillId="0" borderId="15" xfId="0" applyFont="1" applyBorder="1" applyProtection="1"/>
    <xf numFmtId="0" fontId="13" fillId="0" borderId="23" xfId="0" applyNumberFormat="1" applyFont="1" applyBorder="1" applyAlignment="1" applyProtection="1">
      <alignment horizontal="center"/>
    </xf>
    <xf numFmtId="173" fontId="13" fillId="0" borderId="23" xfId="0" applyNumberFormat="1" applyFont="1" applyBorder="1" applyProtection="1"/>
    <xf numFmtId="173" fontId="13" fillId="0" borderId="65" xfId="0" applyNumberFormat="1" applyFont="1" applyBorder="1" applyProtection="1"/>
    <xf numFmtId="173" fontId="13" fillId="0" borderId="12" xfId="0" applyNumberFormat="1" applyFont="1" applyBorder="1" applyProtection="1"/>
    <xf numFmtId="173" fontId="13" fillId="0" borderId="25" xfId="0" applyNumberFormat="1" applyFont="1" applyBorder="1" applyProtection="1"/>
    <xf numFmtId="0" fontId="14" fillId="0" borderId="11" xfId="0" applyFont="1" applyFill="1" applyBorder="1" applyAlignment="1" applyProtection="1">
      <alignment horizontal="left" indent="1"/>
    </xf>
    <xf numFmtId="0" fontId="14" fillId="0" borderId="22" xfId="0" applyNumberFormat="1" applyFont="1" applyBorder="1" applyAlignment="1" applyProtection="1">
      <alignment horizontal="center"/>
    </xf>
    <xf numFmtId="173" fontId="14" fillId="0" borderId="22" xfId="0" applyNumberFormat="1" applyFont="1" applyBorder="1" applyAlignment="1" applyProtection="1">
      <alignment horizontal="right"/>
    </xf>
    <xf numFmtId="173" fontId="14" fillId="0" borderId="13"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3" fillId="28" borderId="0" xfId="0" applyNumberFormat="1" applyFont="1" applyFill="1" applyBorder="1" applyProtection="1">
      <protection locked="0"/>
    </xf>
    <xf numFmtId="170" fontId="13" fillId="0" borderId="10" xfId="0" applyNumberFormat="1" applyFont="1" applyFill="1" applyBorder="1"/>
    <xf numFmtId="173" fontId="14" fillId="0" borderId="74" xfId="0" applyNumberFormat="1" applyFont="1" applyBorder="1"/>
    <xf numFmtId="173" fontId="14" fillId="0" borderId="52" xfId="0" applyNumberFormat="1" applyFont="1" applyBorder="1"/>
    <xf numFmtId="170" fontId="14" fillId="0" borderId="13" xfId="0" applyNumberFormat="1" applyFont="1" applyBorder="1"/>
    <xf numFmtId="0" fontId="13" fillId="0" borderId="29" xfId="0" applyNumberFormat="1" applyFont="1" applyBorder="1" applyAlignment="1" applyProtection="1">
      <alignment horizontal="center"/>
      <protection locked="0"/>
    </xf>
    <xf numFmtId="173" fontId="14" fillId="0" borderId="29" xfId="0" applyNumberFormat="1" applyFont="1" applyFill="1" applyBorder="1"/>
    <xf numFmtId="173" fontId="14" fillId="0" borderId="75" xfId="0" applyNumberFormat="1" applyFont="1" applyBorder="1"/>
    <xf numFmtId="170" fontId="14" fillId="0" borderId="76" xfId="0" applyNumberFormat="1" applyFont="1" applyBorder="1"/>
    <xf numFmtId="170" fontId="14" fillId="0" borderId="77" xfId="0" applyNumberFormat="1" applyFont="1" applyBorder="1"/>
    <xf numFmtId="0" fontId="18" fillId="0" borderId="0" xfId="0" applyFont="1" applyBorder="1" applyProtection="1"/>
    <xf numFmtId="0" fontId="13" fillId="0" borderId="0" xfId="0" applyFont="1" applyBorder="1" applyAlignment="1" applyProtection="1">
      <alignment horizontal="center"/>
      <protection locked="0"/>
    </xf>
    <xf numFmtId="0" fontId="17" fillId="0" borderId="0" xfId="0" applyFont="1" applyFill="1" applyBorder="1" applyProtection="1">
      <protection locked="0"/>
    </xf>
    <xf numFmtId="170" fontId="14" fillId="0" borderId="0" xfId="0" applyNumberFormat="1" applyFont="1" applyFill="1" applyBorder="1" applyProtection="1">
      <protection locked="0"/>
    </xf>
    <xf numFmtId="0" fontId="13" fillId="0" borderId="0" xfId="0" applyFont="1" applyProtection="1">
      <protection locked="0"/>
    </xf>
    <xf numFmtId="0" fontId="17" fillId="0" borderId="0" xfId="0" quotePrefix="1" applyFont="1" applyBorder="1" applyProtection="1"/>
    <xf numFmtId="0" fontId="14" fillId="0" borderId="0" xfId="0" applyFont="1" applyBorder="1" applyProtection="1">
      <protection locked="0"/>
    </xf>
    <xf numFmtId="170" fontId="14" fillId="0" borderId="0" xfId="0" applyNumberFormat="1" applyFont="1" applyBorder="1" applyProtection="1">
      <protection locked="0"/>
    </xf>
    <xf numFmtId="0" fontId="17" fillId="0" borderId="0" xfId="0" applyFont="1" applyBorder="1" applyAlignment="1" applyProtection="1">
      <alignment horizontal="left"/>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6" fontId="13" fillId="0" borderId="0" xfId="28" applyNumberFormat="1" applyFont="1" applyProtection="1">
      <protection locked="0"/>
    </xf>
    <xf numFmtId="0" fontId="13" fillId="0" borderId="0" xfId="0" applyFont="1" applyAlignment="1" applyProtection="1">
      <alignment horizontal="center"/>
      <protection locked="0"/>
    </xf>
    <xf numFmtId="0" fontId="17" fillId="0" borderId="0" xfId="0" applyFont="1" applyBorder="1" applyAlignment="1" applyProtection="1">
      <alignment horizontal="right"/>
    </xf>
    <xf numFmtId="0" fontId="14" fillId="0" borderId="11" xfId="0" applyFont="1" applyFill="1" applyBorder="1" applyAlignment="1" applyProtection="1">
      <alignment horizontal="left" vertical="center"/>
    </xf>
    <xf numFmtId="0" fontId="14" fillId="0" borderId="22" xfId="0" applyFont="1" applyFill="1" applyBorder="1" applyAlignment="1" applyProtection="1">
      <alignment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9" fontId="14" fillId="0" borderId="22" xfId="42" applyFont="1" applyFill="1" applyBorder="1" applyAlignment="1">
      <alignment horizontal="center" vertical="center"/>
    </xf>
    <xf numFmtId="0" fontId="13" fillId="0" borderId="13" xfId="0" applyFont="1" applyFill="1" applyBorder="1" applyAlignment="1">
      <alignment horizontal="center" vertical="center"/>
    </xf>
    <xf numFmtId="173" fontId="14" fillId="0" borderId="37" xfId="0" applyNumberFormat="1" applyFont="1" applyBorder="1" applyAlignment="1">
      <alignment horizontal="right"/>
    </xf>
    <xf numFmtId="173" fontId="14" fillId="0" borderId="78" xfId="0" applyNumberFormat="1" applyFont="1" applyBorder="1" applyAlignment="1" applyProtection="1">
      <alignment horizontal="right"/>
    </xf>
    <xf numFmtId="173" fontId="13" fillId="0" borderId="69" xfId="0" applyNumberFormat="1" applyFont="1" applyBorder="1" applyProtection="1"/>
    <xf numFmtId="173" fontId="13" fillId="0" borderId="79" xfId="0" applyNumberFormat="1" applyFont="1" applyBorder="1" applyProtection="1"/>
    <xf numFmtId="173" fontId="14" fillId="0" borderId="37" xfId="0" applyNumberFormat="1" applyFont="1" applyBorder="1" applyAlignment="1" applyProtection="1">
      <alignment horizontal="right"/>
    </xf>
    <xf numFmtId="173" fontId="14" fillId="0" borderId="78" xfId="0" applyNumberFormat="1" applyFont="1" applyBorder="1"/>
    <xf numFmtId="173" fontId="14" fillId="0" borderId="34" xfId="0" applyNumberFormat="1" applyFont="1" applyFill="1" applyBorder="1"/>
    <xf numFmtId="0" fontId="13" fillId="0" borderId="25" xfId="0" applyFont="1" applyBorder="1"/>
    <xf numFmtId="0" fontId="13" fillId="0" borderId="23" xfId="0" applyFont="1" applyBorder="1"/>
    <xf numFmtId="173" fontId="14" fillId="0" borderId="30" xfId="0" applyNumberFormat="1" applyFont="1" applyFill="1" applyBorder="1"/>
    <xf numFmtId="173" fontId="14" fillId="0" borderId="49" xfId="0" applyNumberFormat="1" applyFont="1" applyBorder="1"/>
    <xf numFmtId="173" fontId="13" fillId="0" borderId="43" xfId="0" applyNumberFormat="1" applyFont="1" applyBorder="1"/>
    <xf numFmtId="9" fontId="13" fillId="0" borderId="43" xfId="42" applyFont="1" applyBorder="1" applyAlignment="1">
      <alignment horizontal="center"/>
    </xf>
    <xf numFmtId="173" fontId="14" fillId="0" borderId="67" xfId="0" applyNumberFormat="1" applyFont="1" applyBorder="1"/>
    <xf numFmtId="0" fontId="13" fillId="0" borderId="11" xfId="0" applyNumberFormat="1" applyFont="1" applyFill="1" applyBorder="1" applyAlignment="1">
      <alignment horizontal="left" indent="1"/>
    </xf>
    <xf numFmtId="0" fontId="13" fillId="0" borderId="11" xfId="0" applyNumberFormat="1" applyFont="1" applyBorder="1" applyAlignment="1">
      <alignment horizontal="left" indent="1"/>
    </xf>
    <xf numFmtId="0" fontId="13" fillId="0" borderId="53" xfId="0" applyFont="1" applyBorder="1" applyAlignment="1">
      <alignment horizontal="center"/>
    </xf>
    <xf numFmtId="0" fontId="13" fillId="0" borderId="51" xfId="0" applyFont="1" applyBorder="1" applyAlignment="1">
      <alignment horizontal="center"/>
    </xf>
    <xf numFmtId="0" fontId="13" fillId="0" borderId="46" xfId="0" applyFont="1" applyBorder="1" applyAlignment="1">
      <alignment horizontal="center" vertical="top"/>
    </xf>
    <xf numFmtId="173" fontId="14" fillId="0" borderId="55" xfId="0" applyNumberFormat="1" applyFont="1" applyBorder="1" applyAlignment="1">
      <alignment vertical="top"/>
    </xf>
    <xf numFmtId="173" fontId="14" fillId="0" borderId="32" xfId="0" applyNumberFormat="1" applyFont="1" applyBorder="1" applyAlignment="1">
      <alignment vertical="top"/>
    </xf>
    <xf numFmtId="173" fontId="14" fillId="0" borderId="31" xfId="0" applyNumberFormat="1" applyFont="1" applyBorder="1" applyAlignment="1">
      <alignment vertical="top"/>
    </xf>
    <xf numFmtId="9" fontId="14" fillId="0" borderId="31" xfId="42" applyFont="1" applyBorder="1" applyAlignment="1">
      <alignment horizontal="center" vertical="top"/>
    </xf>
    <xf numFmtId="173" fontId="14" fillId="0" borderId="47" xfId="0" applyNumberFormat="1" applyFont="1" applyBorder="1" applyAlignment="1">
      <alignment vertical="top"/>
    </xf>
    <xf numFmtId="0" fontId="14" fillId="0" borderId="11" xfId="0" applyNumberFormat="1" applyFont="1" applyBorder="1" applyAlignment="1">
      <alignment wrapText="1"/>
    </xf>
    <xf numFmtId="173" fontId="14" fillId="0" borderId="43" xfId="0" applyNumberFormat="1" applyFont="1" applyBorder="1" applyAlignment="1">
      <alignment vertical="top"/>
    </xf>
    <xf numFmtId="173" fontId="14" fillId="0" borderId="49" xfId="0" applyNumberFormat="1" applyFont="1" applyBorder="1" applyAlignment="1">
      <alignment vertical="top"/>
    </xf>
    <xf numFmtId="173" fontId="14" fillId="0" borderId="60" xfId="0" applyNumberFormat="1" applyFont="1" applyBorder="1" applyAlignment="1">
      <alignment vertical="top"/>
    </xf>
    <xf numFmtId="173" fontId="13" fillId="0" borderId="10" xfId="0" applyNumberFormat="1" applyFont="1" applyFill="1" applyBorder="1"/>
    <xf numFmtId="173" fontId="13" fillId="0" borderId="45" xfId="0" applyNumberFormat="1" applyFont="1" applyFill="1" applyBorder="1"/>
    <xf numFmtId="173" fontId="13" fillId="0" borderId="10" xfId="0" applyNumberFormat="1" applyFont="1" applyFill="1" applyBorder="1" applyProtection="1">
      <protection locked="0"/>
    </xf>
    <xf numFmtId="173" fontId="13" fillId="0" borderId="45" xfId="0" applyNumberFormat="1" applyFont="1" applyFill="1" applyBorder="1" applyProtection="1">
      <protection locked="0"/>
    </xf>
    <xf numFmtId="173" fontId="13" fillId="0" borderId="22" xfId="0" applyNumberFormat="1" applyFont="1" applyFill="1" applyBorder="1" applyProtection="1">
      <protection locked="0"/>
    </xf>
    <xf numFmtId="173" fontId="13" fillId="0" borderId="46" xfId="0" applyNumberFormat="1" applyFont="1" applyFill="1" applyBorder="1" applyProtection="1">
      <protection locked="0"/>
    </xf>
    <xf numFmtId="0" fontId="14" fillId="0" borderId="27" xfId="0" applyFont="1" applyBorder="1" applyAlignment="1">
      <alignment horizontal="left"/>
    </xf>
    <xf numFmtId="0" fontId="13" fillId="0" borderId="11" xfId="0" applyFont="1" applyFill="1" applyBorder="1" applyAlignment="1">
      <alignment horizontal="left" indent="2"/>
    </xf>
    <xf numFmtId="0" fontId="14" fillId="0" borderId="38" xfId="0" applyFont="1" applyBorder="1"/>
    <xf numFmtId="0" fontId="13" fillId="0" borderId="56" xfId="0" applyFont="1" applyBorder="1" applyAlignment="1">
      <alignment horizontal="center"/>
    </xf>
    <xf numFmtId="173" fontId="14" fillId="0" borderId="38" xfId="0" applyNumberFormat="1" applyFont="1" applyFill="1" applyBorder="1"/>
    <xf numFmtId="173" fontId="14" fillId="0" borderId="64" xfId="0" applyNumberFormat="1" applyFont="1" applyFill="1" applyBorder="1"/>
    <xf numFmtId="9" fontId="14" fillId="0" borderId="29" xfId="42" applyFont="1" applyFill="1" applyBorder="1" applyAlignment="1">
      <alignment horizontal="center"/>
    </xf>
    <xf numFmtId="173" fontId="14" fillId="0" borderId="56" xfId="0" applyNumberFormat="1" applyFont="1" applyFill="1" applyBorder="1"/>
    <xf numFmtId="173" fontId="14" fillId="0" borderId="60" xfId="0" applyNumberFormat="1" applyFont="1" applyBorder="1"/>
    <xf numFmtId="173" fontId="14" fillId="0" borderId="31" xfId="0" applyNumberFormat="1" applyFont="1" applyFill="1" applyBorder="1"/>
    <xf numFmtId="0" fontId="13" fillId="0" borderId="37" xfId="0" applyFont="1" applyFill="1" applyBorder="1" applyAlignment="1">
      <alignment horizontal="left" vertical="top" wrapText="1"/>
    </xf>
    <xf numFmtId="0" fontId="14" fillId="0" borderId="11" xfId="0" applyNumberFormat="1" applyFont="1" applyBorder="1"/>
    <xf numFmtId="0" fontId="13" fillId="0" borderId="11" xfId="0" applyNumberFormat="1" applyFont="1" applyBorder="1"/>
    <xf numFmtId="0" fontId="16" fillId="0" borderId="11" xfId="0" applyNumberFormat="1" applyFont="1" applyBorder="1"/>
    <xf numFmtId="0" fontId="14" fillId="0" borderId="38" xfId="0" applyNumberFormat="1" applyFont="1" applyBorder="1"/>
    <xf numFmtId="173" fontId="14" fillId="25" borderId="30" xfId="0" applyNumberFormat="1" applyFont="1" applyFill="1" applyBorder="1"/>
    <xf numFmtId="173" fontId="13" fillId="0" borderId="26" xfId="0" applyNumberFormat="1" applyFont="1" applyFill="1" applyBorder="1" applyProtection="1">
      <protection locked="0"/>
    </xf>
    <xf numFmtId="169" fontId="13" fillId="0" borderId="22" xfId="42" applyNumberFormat="1" applyFont="1" applyFill="1" applyBorder="1" applyAlignment="1" applyProtection="1">
      <alignment horizontal="center" vertical="top" wrapText="1"/>
      <protection locked="0"/>
    </xf>
    <xf numFmtId="173" fontId="13" fillId="0" borderId="43" xfId="0" applyNumberFormat="1" applyFont="1" applyFill="1" applyBorder="1" applyProtection="1">
      <protection locked="0"/>
    </xf>
    <xf numFmtId="169" fontId="13" fillId="0" borderId="43" xfId="42" applyNumberFormat="1" applyFont="1" applyFill="1" applyBorder="1" applyAlignment="1" applyProtection="1">
      <alignment horizontal="center" vertical="top" wrapText="1"/>
      <protection locked="0"/>
    </xf>
    <xf numFmtId="173" fontId="13" fillId="0" borderId="52" xfId="0" applyNumberFormat="1" applyFont="1" applyFill="1" applyBorder="1" applyProtection="1">
      <protection locked="0"/>
    </xf>
    <xf numFmtId="169" fontId="13" fillId="0" borderId="43" xfId="42" applyNumberFormat="1" applyFont="1" applyFill="1" applyBorder="1" applyAlignment="1">
      <alignment horizontal="center" vertical="top" wrapText="1"/>
    </xf>
    <xf numFmtId="169" fontId="14" fillId="0" borderId="43" xfId="42" applyNumberFormat="1" applyFont="1" applyFill="1" applyBorder="1" applyAlignment="1">
      <alignment horizontal="center" vertical="top" wrapText="1"/>
    </xf>
    <xf numFmtId="0" fontId="13" fillId="0" borderId="59" xfId="0" applyFont="1" applyBorder="1"/>
    <xf numFmtId="173" fontId="13" fillId="0" borderId="66" xfId="0" applyNumberFormat="1" applyFont="1" applyBorder="1"/>
    <xf numFmtId="0" fontId="14" fillId="0" borderId="27" xfId="0" applyNumberFormat="1" applyFont="1" applyBorder="1" applyAlignment="1">
      <alignment vertical="center"/>
    </xf>
    <xf numFmtId="0" fontId="14" fillId="0" borderId="40" xfId="0" applyNumberFormat="1" applyFont="1" applyBorder="1" applyAlignment="1">
      <alignment horizontal="left"/>
    </xf>
    <xf numFmtId="0" fontId="14" fillId="0" borderId="35" xfId="0" applyNumberFormat="1" applyFont="1" applyBorder="1" applyAlignment="1">
      <alignment vertical="center"/>
    </xf>
    <xf numFmtId="0" fontId="16" fillId="0" borderId="27" xfId="0" applyFont="1" applyBorder="1"/>
    <xf numFmtId="170" fontId="13" fillId="0" borderId="38" xfId="0" quotePrefix="1" applyNumberFormat="1" applyFont="1" applyBorder="1" applyAlignment="1">
      <alignment horizontal="center"/>
    </xf>
    <xf numFmtId="170" fontId="13" fillId="0" borderId="30" xfId="0" quotePrefix="1" applyNumberFormat="1" applyFont="1" applyBorder="1" applyAlignment="1">
      <alignment horizontal="center"/>
    </xf>
    <xf numFmtId="170" fontId="13" fillId="0" borderId="29" xfId="0" quotePrefix="1" applyNumberFormat="1" applyFont="1" applyBorder="1" applyAlignment="1">
      <alignment horizontal="center"/>
    </xf>
    <xf numFmtId="170" fontId="13" fillId="0" borderId="29" xfId="0" applyNumberFormat="1" applyFont="1" applyBorder="1" applyAlignment="1">
      <alignment horizontal="center"/>
    </xf>
    <xf numFmtId="170" fontId="13" fillId="0" borderId="56" xfId="0" quotePrefix="1" applyNumberFormat="1" applyFont="1" applyBorder="1" applyAlignment="1">
      <alignment horizontal="center"/>
    </xf>
    <xf numFmtId="0" fontId="14" fillId="0" borderId="11" xfId="0" applyNumberFormat="1" applyFont="1" applyBorder="1" applyAlignment="1">
      <alignment horizontal="left" indent="1"/>
    </xf>
    <xf numFmtId="0" fontId="16" fillId="0" borderId="11" xfId="0" applyFont="1" applyBorder="1" applyAlignment="1">
      <alignment horizontal="left"/>
    </xf>
    <xf numFmtId="0" fontId="14" fillId="0" borderId="27" xfId="0" applyNumberFormat="1" applyFont="1" applyBorder="1"/>
    <xf numFmtId="0" fontId="14" fillId="0" borderId="27" xfId="0" applyFont="1" applyBorder="1" applyAlignment="1">
      <alignment vertical="center" wrapText="1"/>
    </xf>
    <xf numFmtId="0" fontId="14" fillId="0" borderId="54" xfId="0" applyFont="1" applyBorder="1" applyAlignment="1">
      <alignment horizontal="center"/>
    </xf>
    <xf numFmtId="0" fontId="14" fillId="0" borderId="40" xfId="0" applyFont="1" applyBorder="1" applyAlignment="1">
      <alignment wrapText="1"/>
    </xf>
    <xf numFmtId="173" fontId="13" fillId="0" borderId="67" xfId="0" applyNumberFormat="1" applyFont="1" applyBorder="1"/>
    <xf numFmtId="173" fontId="13" fillId="0" borderId="52" xfId="0" applyNumberFormat="1" applyFont="1" applyBorder="1"/>
    <xf numFmtId="173" fontId="13" fillId="0" borderId="49" xfId="0" applyNumberFormat="1" applyFont="1" applyBorder="1"/>
    <xf numFmtId="0" fontId="17" fillId="0" borderId="11" xfId="0" applyNumberFormat="1" applyFont="1" applyBorder="1" applyAlignment="1">
      <alignment horizontal="left" indent="2"/>
    </xf>
    <xf numFmtId="169" fontId="14" fillId="0" borderId="37" xfId="42" applyNumberFormat="1" applyFont="1" applyFill="1" applyBorder="1" applyAlignment="1">
      <alignment horizontal="center" vertical="top" wrapText="1"/>
    </xf>
    <xf numFmtId="173" fontId="14" fillId="0" borderId="54" xfId="0" applyNumberFormat="1" applyFont="1" applyBorder="1"/>
    <xf numFmtId="173" fontId="14" fillId="0" borderId="62" xfId="0" applyNumberFormat="1" applyFont="1" applyBorder="1"/>
    <xf numFmtId="173" fontId="14" fillId="0" borderId="36" xfId="0" applyNumberFormat="1" applyFont="1" applyBorder="1"/>
    <xf numFmtId="169" fontId="14" fillId="0" borderId="36" xfId="42" applyNumberFormat="1" applyFont="1" applyFill="1" applyBorder="1" applyAlignment="1">
      <alignment horizontal="center" vertical="top" wrapText="1"/>
    </xf>
    <xf numFmtId="173" fontId="14" fillId="0" borderId="51" xfId="0" applyNumberFormat="1" applyFont="1" applyBorder="1"/>
    <xf numFmtId="0" fontId="13" fillId="0" borderId="10" xfId="0" applyFont="1" applyFill="1" applyBorder="1" applyAlignment="1">
      <alignment horizontal="left" indent="1"/>
    </xf>
    <xf numFmtId="0" fontId="14" fillId="0" borderId="10" xfId="0" applyFont="1" applyFill="1" applyBorder="1" applyAlignment="1">
      <alignment wrapText="1"/>
    </xf>
    <xf numFmtId="0" fontId="14" fillId="0" borderId="10" xfId="0" applyFont="1" applyFill="1" applyBorder="1"/>
    <xf numFmtId="0" fontId="17" fillId="0" borderId="0" xfId="0" applyFont="1" applyBorder="1" applyProtection="1"/>
    <xf numFmtId="0" fontId="13" fillId="0" borderId="31" xfId="0" applyFont="1" applyBorder="1" applyAlignment="1">
      <alignment horizontal="center"/>
    </xf>
    <xf numFmtId="0" fontId="14" fillId="0" borderId="35" xfId="0" applyNumberFormat="1" applyFont="1" applyBorder="1" applyAlignment="1">
      <alignment horizontal="left" wrapText="1"/>
    </xf>
    <xf numFmtId="0" fontId="13" fillId="0" borderId="47" xfId="0" applyFont="1" applyBorder="1" applyAlignment="1">
      <alignment horizontal="center"/>
    </xf>
    <xf numFmtId="0" fontId="0" fillId="0" borderId="0" xfId="0" applyProtection="1">
      <protection locked="0"/>
    </xf>
    <xf numFmtId="0" fontId="9" fillId="0" borderId="0" xfId="0" applyFont="1" applyProtection="1">
      <protection locked="0"/>
    </xf>
    <xf numFmtId="175" fontId="9" fillId="0" borderId="11" xfId="0" applyNumberFormat="1" applyFont="1" applyBorder="1" applyAlignment="1">
      <alignment horizontal="left"/>
    </xf>
    <xf numFmtId="174" fontId="13" fillId="0" borderId="45" xfId="42" applyNumberFormat="1" applyFont="1" applyBorder="1"/>
    <xf numFmtId="174" fontId="14" fillId="0" borderId="22" xfId="42" applyNumberFormat="1" applyFont="1" applyBorder="1" applyAlignment="1">
      <alignment vertical="top"/>
    </xf>
    <xf numFmtId="174" fontId="14" fillId="0" borderId="45" xfId="42" applyNumberFormat="1" applyFont="1" applyBorder="1" applyAlignment="1">
      <alignment vertical="top"/>
    </xf>
    <xf numFmtId="174" fontId="14" fillId="0" borderId="43" xfId="42" applyNumberFormat="1" applyFont="1" applyBorder="1"/>
    <xf numFmtId="172" fontId="14" fillId="25" borderId="22" xfId="0" applyNumberFormat="1" applyFont="1" applyFill="1" applyBorder="1"/>
    <xf numFmtId="174" fontId="14" fillId="25" borderId="22" xfId="42" applyNumberFormat="1" applyFont="1" applyFill="1" applyBorder="1"/>
    <xf numFmtId="173" fontId="14" fillId="0" borderId="47" xfId="0" applyNumberFormat="1" applyFont="1" applyFill="1" applyBorder="1"/>
    <xf numFmtId="173" fontId="14" fillId="0" borderId="61" xfId="0" applyNumberFormat="1" applyFont="1" applyFill="1" applyBorder="1"/>
    <xf numFmtId="9" fontId="14" fillId="0" borderId="31" xfId="42" applyFont="1" applyFill="1" applyBorder="1" applyAlignment="1">
      <alignment horizontal="center"/>
    </xf>
    <xf numFmtId="173" fontId="14" fillId="0" borderId="80" xfId="0" applyNumberFormat="1" applyFont="1" applyFill="1" applyBorder="1"/>
    <xf numFmtId="173" fontId="14" fillId="0" borderId="10" xfId="0" applyNumberFormat="1" applyFont="1" applyFill="1" applyBorder="1"/>
    <xf numFmtId="173" fontId="14" fillId="0" borderId="26" xfId="0" applyNumberFormat="1" applyFont="1" applyFill="1" applyBorder="1"/>
    <xf numFmtId="173" fontId="14" fillId="0" borderId="46" xfId="0" applyNumberFormat="1" applyFont="1" applyFill="1" applyBorder="1"/>
    <xf numFmtId="0" fontId="13" fillId="0" borderId="22" xfId="0" applyNumberFormat="1" applyFont="1" applyBorder="1" applyAlignment="1">
      <alignment horizontal="center"/>
    </xf>
    <xf numFmtId="173" fontId="14" fillId="0" borderId="31" xfId="0" applyNumberFormat="1" applyFont="1" applyFill="1" applyBorder="1" applyProtection="1"/>
    <xf numFmtId="173" fontId="14" fillId="0" borderId="47" xfId="0" applyNumberFormat="1" applyFont="1" applyFill="1" applyBorder="1" applyProtection="1"/>
    <xf numFmtId="0" fontId="13" fillId="0" borderId="26" xfId="0" applyNumberFormat="1" applyFont="1" applyFill="1" applyBorder="1" applyAlignment="1" applyProtection="1">
      <alignment horizontal="left" indent="2"/>
    </xf>
    <xf numFmtId="173" fontId="13" fillId="0" borderId="43"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173" fontId="14" fillId="0" borderId="43" xfId="0" applyNumberFormat="1" applyFont="1" applyFill="1" applyBorder="1" applyProtection="1"/>
    <xf numFmtId="173" fontId="14" fillId="0" borderId="78" xfId="0" applyNumberFormat="1" applyFont="1" applyFill="1" applyBorder="1" applyProtection="1"/>
    <xf numFmtId="173" fontId="14" fillId="0" borderId="52" xfId="0" applyNumberFormat="1" applyFont="1" applyFill="1" applyBorder="1" applyProtection="1"/>
    <xf numFmtId="173" fontId="14" fillId="0" borderId="49" xfId="0" applyNumberFormat="1" applyFont="1" applyFill="1" applyBorder="1" applyProtection="1"/>
    <xf numFmtId="0" fontId="14" fillId="0" borderId="11" xfId="0" applyNumberFormat="1" applyFont="1" applyBorder="1" applyProtection="1"/>
    <xf numFmtId="173" fontId="14" fillId="0" borderId="43" xfId="0" applyNumberFormat="1" applyFont="1" applyFill="1" applyBorder="1"/>
    <xf numFmtId="173" fontId="14" fillId="0" borderId="49" xfId="0" applyNumberFormat="1" applyFont="1" applyFill="1" applyBorder="1"/>
    <xf numFmtId="0" fontId="13" fillId="0" borderId="11" xfId="0" applyNumberFormat="1" applyFont="1" applyBorder="1" applyProtection="1"/>
    <xf numFmtId="0" fontId="16" fillId="0" borderId="11" xfId="0" applyNumberFormat="1" applyFont="1" applyBorder="1" applyProtection="1"/>
    <xf numFmtId="0" fontId="19" fillId="0" borderId="22" xfId="0" applyNumberFormat="1" applyFont="1" applyBorder="1" applyAlignment="1" applyProtection="1">
      <alignment horizontal="center"/>
    </xf>
    <xf numFmtId="0" fontId="14" fillId="0" borderId="27" xfId="0" applyNumberFormat="1" applyFont="1" applyBorder="1" applyProtection="1"/>
    <xf numFmtId="0" fontId="13" fillId="0" borderId="29"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170" fontId="15" fillId="0" borderId="0" xfId="0" applyNumberFormat="1" applyFont="1" applyBorder="1" applyProtection="1">
      <protection locked="0"/>
    </xf>
    <xf numFmtId="0" fontId="15" fillId="0" borderId="0" xfId="0" applyFont="1" applyBorder="1" applyProtection="1"/>
    <xf numFmtId="170" fontId="15" fillId="0" borderId="0" xfId="0" applyNumberFormat="1" applyFont="1" applyBorder="1" applyProtection="1"/>
    <xf numFmtId="166" fontId="17" fillId="0" borderId="0" xfId="28" applyNumberFormat="1" applyFont="1" applyBorder="1" applyAlignment="1">
      <alignment horizontal="right"/>
    </xf>
    <xf numFmtId="166" fontId="17" fillId="0" borderId="0" xfId="28" applyNumberFormat="1" applyFont="1" applyFill="1" applyBorder="1" applyAlignment="1">
      <alignment horizontal="right"/>
    </xf>
    <xf numFmtId="173" fontId="13" fillId="0" borderId="0" xfId="0" applyNumberFormat="1" applyFont="1"/>
    <xf numFmtId="0" fontId="14" fillId="0" borderId="23" xfId="0" applyFont="1" applyFill="1" applyBorder="1" applyAlignment="1">
      <alignment horizontal="center"/>
    </xf>
    <xf numFmtId="173" fontId="13" fillId="0" borderId="31" xfId="0" applyNumberFormat="1" applyFont="1" applyFill="1" applyBorder="1"/>
    <xf numFmtId="9" fontId="13" fillId="0" borderId="31" xfId="42" applyFont="1" applyFill="1" applyBorder="1" applyAlignment="1">
      <alignment horizontal="center"/>
    </xf>
    <xf numFmtId="173" fontId="14" fillId="0" borderId="24" xfId="0" applyNumberFormat="1" applyFont="1" applyFill="1" applyBorder="1"/>
    <xf numFmtId="170" fontId="15" fillId="0" borderId="0" xfId="0" applyNumberFormat="1" applyFont="1" applyFill="1" applyBorder="1" applyProtection="1">
      <protection locked="0"/>
    </xf>
    <xf numFmtId="170" fontId="15" fillId="0" borderId="0" xfId="0" applyNumberFormat="1" applyFont="1" applyFill="1" applyBorder="1" applyProtection="1"/>
    <xf numFmtId="173" fontId="14" fillId="0" borderId="22" xfId="0" applyNumberFormat="1" applyFont="1" applyFill="1" applyBorder="1" applyProtection="1"/>
    <xf numFmtId="9" fontId="14" fillId="0" borderId="24" xfId="42" applyFont="1" applyFill="1" applyBorder="1" applyAlignment="1">
      <alignment horizontal="center"/>
    </xf>
    <xf numFmtId="173" fontId="14" fillId="0" borderId="50" xfId="0" applyNumberFormat="1" applyFont="1" applyFill="1" applyBorder="1"/>
    <xf numFmtId="173" fontId="14" fillId="0" borderId="58" xfId="0" applyNumberFormat="1" applyFont="1" applyFill="1" applyBorder="1"/>
    <xf numFmtId="173" fontId="14" fillId="0" borderId="46" xfId="0" applyNumberFormat="1" applyFont="1" applyFill="1" applyBorder="1" applyProtection="1"/>
    <xf numFmtId="173" fontId="13" fillId="0" borderId="46" xfId="0" applyNumberFormat="1" applyFont="1" applyFill="1" applyBorder="1" applyProtection="1"/>
    <xf numFmtId="173" fontId="13" fillId="0" borderId="46" xfId="29" applyNumberFormat="1" applyFont="1" applyFill="1" applyBorder="1" applyProtection="1"/>
    <xf numFmtId="173" fontId="14" fillId="0" borderId="55" xfId="0" applyNumberFormat="1" applyFont="1" applyFill="1" applyBorder="1"/>
    <xf numFmtId="173" fontId="13" fillId="0" borderId="13" xfId="0" applyNumberFormat="1" applyFont="1" applyFill="1" applyBorder="1"/>
    <xf numFmtId="0" fontId="0" fillId="0" borderId="0" xfId="0" applyProtection="1"/>
    <xf numFmtId="0" fontId="10" fillId="29" borderId="72" xfId="0" applyFont="1" applyFill="1" applyBorder="1" applyAlignment="1" applyProtection="1">
      <alignment horizontal="center"/>
    </xf>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4" fillId="0" borderId="10" xfId="0" applyNumberFormat="1" applyFont="1" applyFill="1" applyBorder="1" applyAlignment="1" applyProtection="1">
      <alignment vertical="top"/>
    </xf>
    <xf numFmtId="173" fontId="14" fillId="0" borderId="26" xfId="0" applyNumberFormat="1" applyFont="1" applyFill="1" applyBorder="1" applyAlignment="1" applyProtection="1">
      <alignment vertical="top"/>
    </xf>
    <xf numFmtId="173" fontId="14" fillId="0" borderId="22" xfId="0" applyNumberFormat="1" applyFont="1" applyFill="1" applyBorder="1" applyAlignment="1" applyProtection="1">
      <alignment vertical="top"/>
    </xf>
    <xf numFmtId="173" fontId="14" fillId="0" borderId="37" xfId="0" applyNumberFormat="1" applyFont="1" applyFill="1" applyBorder="1" applyAlignment="1" applyProtection="1">
      <alignment vertical="top"/>
    </xf>
    <xf numFmtId="173" fontId="14" fillId="0" borderId="46" xfId="0" applyNumberFormat="1" applyFont="1" applyFill="1" applyBorder="1" applyAlignment="1" applyProtection="1">
      <alignment vertical="top"/>
    </xf>
    <xf numFmtId="173" fontId="14" fillId="0" borderId="54" xfId="0" applyNumberFormat="1" applyFont="1" applyFill="1" applyBorder="1" applyProtection="1"/>
    <xf numFmtId="173" fontId="14" fillId="0" borderId="66" xfId="0" applyNumberFormat="1" applyFont="1" applyFill="1" applyBorder="1" applyProtection="1"/>
    <xf numFmtId="173" fontId="14" fillId="0" borderId="36" xfId="0" applyNumberFormat="1" applyFont="1" applyFill="1" applyBorder="1" applyProtection="1"/>
    <xf numFmtId="173" fontId="14" fillId="0" borderId="81" xfId="0" applyNumberFormat="1" applyFont="1" applyFill="1" applyBorder="1" applyProtection="1"/>
    <xf numFmtId="173" fontId="14" fillId="0" borderId="51" xfId="0" applyNumberFormat="1" applyFont="1" applyFill="1" applyBorder="1" applyProtection="1"/>
    <xf numFmtId="173" fontId="14" fillId="0" borderId="10" xfId="0" applyNumberFormat="1" applyFont="1" applyFill="1" applyBorder="1" applyProtection="1"/>
    <xf numFmtId="173" fontId="14" fillId="0" borderId="26" xfId="0" applyNumberFormat="1" applyFont="1" applyFill="1" applyBorder="1" applyProtection="1"/>
    <xf numFmtId="173" fontId="14" fillId="0" borderId="37" xfId="0" applyNumberFormat="1" applyFont="1" applyFill="1" applyBorder="1" applyProtection="1"/>
    <xf numFmtId="173" fontId="14" fillId="0" borderId="67" xfId="0" applyNumberFormat="1" applyFont="1" applyFill="1" applyBorder="1" applyProtection="1"/>
    <xf numFmtId="173" fontId="14" fillId="0" borderId="45" xfId="0" applyNumberFormat="1" applyFont="1" applyFill="1" applyBorder="1" applyProtection="1"/>
    <xf numFmtId="173" fontId="13" fillId="0" borderId="45" xfId="0" applyNumberFormat="1" applyFont="1" applyFill="1" applyBorder="1" applyProtection="1"/>
    <xf numFmtId="173" fontId="13" fillId="0" borderId="45" xfId="28" applyNumberFormat="1" applyFont="1" applyFill="1" applyBorder="1" applyProtection="1"/>
    <xf numFmtId="173" fontId="13" fillId="0" borderId="22" xfId="28" applyNumberFormat="1" applyFont="1" applyFill="1" applyBorder="1" applyProtection="1"/>
    <xf numFmtId="173" fontId="13" fillId="0" borderId="46" xfId="28" applyNumberFormat="1" applyFont="1" applyFill="1" applyBorder="1" applyProtection="1"/>
    <xf numFmtId="9" fontId="13" fillId="0" borderId="46" xfId="42" applyFont="1" applyFill="1" applyBorder="1" applyAlignment="1" applyProtection="1">
      <alignment horizontal="center"/>
    </xf>
    <xf numFmtId="173" fontId="13" fillId="0" borderId="46" xfId="0" applyNumberFormat="1" applyFont="1" applyFill="1" applyBorder="1" applyAlignment="1" applyProtection="1">
      <alignment horizontal="center"/>
    </xf>
    <xf numFmtId="173" fontId="13" fillId="0" borderId="51" xfId="0" applyNumberFormat="1" applyFont="1" applyFill="1" applyBorder="1" applyAlignment="1" applyProtection="1">
      <alignment horizontal="center"/>
    </xf>
    <xf numFmtId="173" fontId="13" fillId="0" borderId="67" xfId="0" applyNumberFormat="1" applyFont="1" applyFill="1" applyBorder="1" applyProtection="1"/>
    <xf numFmtId="0" fontId="13" fillId="0" borderId="0" xfId="0" applyFont="1" applyFill="1" applyAlignment="1" applyProtection="1">
      <alignment horizontal="center"/>
    </xf>
    <xf numFmtId="166" fontId="13" fillId="0" borderId="0" xfId="28" applyNumberFormat="1" applyFont="1" applyFill="1" applyProtection="1"/>
    <xf numFmtId="0" fontId="0" fillId="28" borderId="0" xfId="0" applyFill="1" applyProtection="1">
      <protection locked="0"/>
    </xf>
    <xf numFmtId="0" fontId="20"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8" fillId="28" borderId="0" xfId="0" applyFont="1" applyFill="1" applyProtection="1">
      <protection locked="0"/>
    </xf>
    <xf numFmtId="0" fontId="41" fillId="0" borderId="14" xfId="0" applyFont="1" applyFill="1" applyBorder="1" applyAlignment="1" applyProtection="1">
      <alignment horizontal="left"/>
    </xf>
    <xf numFmtId="0" fontId="45" fillId="0" borderId="0" xfId="0" applyFont="1"/>
    <xf numFmtId="0" fontId="14" fillId="0" borderId="38" xfId="0" applyNumberFormat="1" applyFont="1" applyBorder="1" applyAlignment="1">
      <alignment horizontal="left"/>
    </xf>
    <xf numFmtId="0" fontId="46" fillId="0" borderId="0" xfId="0" applyFont="1" applyBorder="1" applyAlignment="1">
      <alignment horizontal="center"/>
    </xf>
    <xf numFmtId="166" fontId="17" fillId="0" borderId="0" xfId="28" applyNumberFormat="1" applyFont="1"/>
    <xf numFmtId="0" fontId="14" fillId="24" borderId="65" xfId="0" applyFont="1" applyFill="1" applyBorder="1" applyAlignment="1">
      <alignment horizontal="center" vertical="top" wrapText="1"/>
    </xf>
    <xf numFmtId="0" fontId="14" fillId="24" borderId="39" xfId="0" applyFont="1" applyFill="1" applyBorder="1" applyAlignment="1">
      <alignment horizontal="center" vertical="top" wrapText="1"/>
    </xf>
    <xf numFmtId="0" fontId="14" fillId="0" borderId="11" xfId="0" applyFont="1" applyFill="1" applyBorder="1" applyAlignment="1">
      <alignment horizontal="left" indent="1"/>
    </xf>
    <xf numFmtId="167" fontId="17" fillId="0" borderId="0" xfId="28" applyNumberFormat="1" applyFont="1"/>
    <xf numFmtId="0" fontId="17" fillId="0" borderId="0" xfId="0" applyFont="1" applyAlignment="1">
      <alignment horizontal="center"/>
    </xf>
    <xf numFmtId="0" fontId="44" fillId="0" borderId="26" xfId="0" applyFont="1" applyFill="1" applyBorder="1" applyAlignment="1">
      <alignment horizontal="left" vertical="top" wrapText="1" indent="3"/>
    </xf>
    <xf numFmtId="0" fontId="14" fillId="0" borderId="0" xfId="0" applyFont="1" applyFill="1" applyBorder="1" applyAlignment="1">
      <alignment horizontal="center"/>
    </xf>
    <xf numFmtId="0" fontId="13" fillId="0" borderId="0" xfId="0" applyFont="1" applyFill="1" applyAlignment="1">
      <alignment horizontal="right"/>
    </xf>
    <xf numFmtId="168" fontId="13" fillId="0" borderId="0" xfId="0" applyNumberFormat="1" applyFont="1" applyFill="1"/>
    <xf numFmtId="0" fontId="17" fillId="0" borderId="0" xfId="0" applyFont="1" applyFill="1" applyBorder="1" applyAlignment="1" applyProtection="1">
      <alignment horizontal="right"/>
    </xf>
    <xf numFmtId="169" fontId="14"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6" fillId="0" borderId="15" xfId="0" applyNumberFormat="1" applyFont="1" applyBorder="1"/>
    <xf numFmtId="0" fontId="17" fillId="0" borderId="0" xfId="0" applyNumberFormat="1" applyFont="1" applyBorder="1" applyProtection="1"/>
    <xf numFmtId="173" fontId="13" fillId="0" borderId="37" xfId="0" applyNumberFormat="1" applyFont="1" applyBorder="1" applyProtection="1"/>
    <xf numFmtId="173" fontId="13" fillId="0" borderId="26" xfId="0" applyNumberFormat="1" applyFont="1" applyBorder="1" applyProtection="1"/>
    <xf numFmtId="173" fontId="13" fillId="0" borderId="22" xfId="0" applyNumberFormat="1" applyFont="1" applyBorder="1" applyProtection="1"/>
    <xf numFmtId="173" fontId="13" fillId="0" borderId="0" xfId="0" applyNumberFormat="1" applyFont="1" applyBorder="1" applyProtection="1"/>
    <xf numFmtId="173" fontId="13" fillId="0" borderId="13" xfId="0" applyNumberFormat="1" applyFont="1" applyBorder="1" applyProtection="1"/>
    <xf numFmtId="173" fontId="13" fillId="0" borderId="23" xfId="0" applyNumberFormat="1" applyFont="1" applyBorder="1"/>
    <xf numFmtId="9" fontId="13" fillId="0" borderId="23" xfId="42" applyFont="1" applyBorder="1" applyAlignment="1">
      <alignment horizontal="center"/>
    </xf>
    <xf numFmtId="0" fontId="14" fillId="0" borderId="40" xfId="0" applyFont="1" applyBorder="1" applyAlignment="1">
      <alignment horizontal="left"/>
    </xf>
    <xf numFmtId="0" fontId="13" fillId="0" borderId="43" xfId="0" applyNumberFormat="1" applyFont="1" applyBorder="1" applyAlignment="1" applyProtection="1">
      <alignment horizontal="center"/>
      <protection locked="0"/>
    </xf>
    <xf numFmtId="9" fontId="14" fillId="0" borderId="22" xfId="42" applyFont="1" applyFill="1" applyBorder="1" applyAlignment="1">
      <alignment horizontal="center"/>
    </xf>
    <xf numFmtId="169" fontId="14" fillId="25" borderId="29" xfId="42" applyNumberFormat="1" applyFont="1" applyFill="1" applyBorder="1" applyAlignment="1">
      <alignment horizontal="center" vertical="top" wrapText="1"/>
    </xf>
    <xf numFmtId="169" fontId="14" fillId="0" borderId="22" xfId="0" applyNumberFormat="1" applyFont="1" applyBorder="1" applyAlignment="1">
      <alignment horizontal="center"/>
    </xf>
    <xf numFmtId="169" fontId="13" fillId="0" borderId="22" xfId="42" applyNumberFormat="1" applyFont="1" applyBorder="1" applyAlignment="1">
      <alignment horizontal="center"/>
    </xf>
    <xf numFmtId="169" fontId="14" fillId="0" borderId="31" xfId="0" applyNumberFormat="1" applyFont="1" applyBorder="1"/>
    <xf numFmtId="169" fontId="13" fillId="0" borderId="22" xfId="0" applyNumberFormat="1" applyFont="1" applyBorder="1"/>
    <xf numFmtId="169" fontId="14" fillId="0" borderId="43" xfId="42" applyNumberFormat="1" applyFont="1" applyBorder="1" applyAlignment="1">
      <alignment horizontal="center"/>
    </xf>
    <xf numFmtId="169" fontId="14" fillId="0" borderId="29" xfId="42" applyNumberFormat="1" applyFont="1" applyBorder="1" applyAlignment="1">
      <alignment horizontal="center"/>
    </xf>
    <xf numFmtId="173" fontId="14" fillId="0" borderId="47" xfId="42" applyNumberFormat="1" applyFont="1" applyFill="1" applyBorder="1"/>
    <xf numFmtId="0" fontId="9" fillId="32" borderId="39" xfId="0" applyFont="1" applyFill="1" applyBorder="1" applyAlignment="1" applyProtection="1">
      <alignment horizontal="center"/>
      <protection locked="0"/>
    </xf>
    <xf numFmtId="17" fontId="9" fillId="32" borderId="12" xfId="0" quotePrefix="1" applyNumberFormat="1" applyFont="1" applyFill="1" applyBorder="1" applyProtection="1">
      <protection locked="0"/>
    </xf>
    <xf numFmtId="0" fontId="9" fillId="32" borderId="12" xfId="0" applyFont="1" applyFill="1" applyBorder="1" applyProtection="1">
      <protection locked="0"/>
    </xf>
    <xf numFmtId="0" fontId="9" fillId="32" borderId="65" xfId="0" applyFont="1" applyFill="1" applyBorder="1" applyProtection="1">
      <protection locked="0"/>
    </xf>
    <xf numFmtId="0" fontId="9" fillId="32" borderId="10" xfId="0" applyFont="1" applyFill="1" applyBorder="1" applyAlignment="1" applyProtection="1">
      <alignment horizontal="center"/>
      <protection locked="0"/>
    </xf>
    <xf numFmtId="0" fontId="9" fillId="32" borderId="0" xfId="0" applyFont="1" applyFill="1" applyBorder="1" applyProtection="1">
      <protection locked="0"/>
    </xf>
    <xf numFmtId="0" fontId="9" fillId="32" borderId="13" xfId="0" applyFont="1" applyFill="1" applyBorder="1" applyProtection="1">
      <protection locked="0"/>
    </xf>
    <xf numFmtId="0" fontId="9" fillId="32" borderId="13" xfId="0" applyFont="1" applyFill="1" applyBorder="1" applyAlignment="1" applyProtection="1">
      <alignment horizontal="center"/>
      <protection locked="0"/>
    </xf>
    <xf numFmtId="0" fontId="10" fillId="32" borderId="72" xfId="0" applyFont="1" applyFill="1" applyBorder="1" applyAlignment="1" applyProtection="1">
      <alignment horizontal="center"/>
      <protection locked="0"/>
    </xf>
    <xf numFmtId="0" fontId="9" fillId="32" borderId="0" xfId="0" applyFont="1" applyFill="1" applyAlignment="1" applyProtection="1">
      <alignment horizontal="center"/>
      <protection locked="0"/>
    </xf>
    <xf numFmtId="0" fontId="9" fillId="32" borderId="0" xfId="0" applyFont="1" applyFill="1" applyProtection="1">
      <protection locked="0"/>
    </xf>
    <xf numFmtId="0" fontId="9" fillId="32" borderId="0" xfId="0" applyFont="1" applyFill="1" applyAlignment="1" applyProtection="1">
      <alignment horizontal="left"/>
      <protection locked="0"/>
    </xf>
    <xf numFmtId="173" fontId="13" fillId="32" borderId="22"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6" xfId="0" applyNumberFormat="1" applyFont="1" applyFill="1" applyBorder="1" applyProtection="1">
      <protection locked="0"/>
    </xf>
    <xf numFmtId="173" fontId="13" fillId="32" borderId="49" xfId="0" applyNumberFormat="1" applyFont="1" applyFill="1" applyBorder="1" applyProtection="1">
      <protection locked="0"/>
    </xf>
    <xf numFmtId="173" fontId="14" fillId="32" borderId="43" xfId="0" applyNumberFormat="1" applyFont="1" applyFill="1" applyBorder="1" applyProtection="1">
      <protection locked="0"/>
    </xf>
    <xf numFmtId="173" fontId="14" fillId="32" borderId="49" xfId="0" applyNumberFormat="1" applyFont="1" applyFill="1" applyBorder="1" applyProtection="1">
      <protection locked="0"/>
    </xf>
    <xf numFmtId="173" fontId="13" fillId="32" borderId="37" xfId="0" applyNumberFormat="1" applyFont="1" applyFill="1" applyBorder="1" applyAlignment="1" applyProtection="1">
      <alignment horizontal="right"/>
      <protection locked="0"/>
    </xf>
    <xf numFmtId="173" fontId="13" fillId="32" borderId="26" xfId="0" applyNumberFormat="1" applyFont="1" applyFill="1" applyBorder="1" applyAlignment="1" applyProtection="1">
      <alignment horizontal="right"/>
      <protection locked="0"/>
    </xf>
    <xf numFmtId="173" fontId="13" fillId="32" borderId="22" xfId="0" applyNumberFormat="1" applyFont="1" applyFill="1" applyBorder="1" applyAlignment="1" applyProtection="1">
      <alignment horizontal="right"/>
      <protection locked="0"/>
    </xf>
    <xf numFmtId="173" fontId="13" fillId="32" borderId="0" xfId="0" applyNumberFormat="1" applyFont="1" applyFill="1" applyBorder="1" applyAlignment="1" applyProtection="1">
      <alignment horizontal="right"/>
      <protection locked="0"/>
    </xf>
    <xf numFmtId="173" fontId="13" fillId="32" borderId="13" xfId="0" applyNumberFormat="1" applyFont="1" applyFill="1" applyBorder="1" applyAlignment="1" applyProtection="1">
      <alignment horizontal="right"/>
      <protection locked="0"/>
    </xf>
    <xf numFmtId="173" fontId="13" fillId="32" borderId="37"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0" xfId="0" applyNumberFormat="1" applyFont="1" applyFill="1" applyBorder="1" applyProtection="1">
      <protection locked="0"/>
    </xf>
    <xf numFmtId="173" fontId="13" fillId="32" borderId="13" xfId="0" applyNumberFormat="1" applyFont="1" applyFill="1" applyBorder="1" applyProtection="1">
      <protection locked="0"/>
    </xf>
    <xf numFmtId="173" fontId="13" fillId="32" borderId="10" xfId="0" applyNumberFormat="1" applyFont="1" applyFill="1" applyBorder="1" applyProtection="1">
      <protection locked="0"/>
    </xf>
    <xf numFmtId="173" fontId="13" fillId="32" borderId="54" xfId="0" applyNumberFormat="1" applyFont="1" applyFill="1" applyBorder="1" applyProtection="1">
      <protection locked="0"/>
    </xf>
    <xf numFmtId="173" fontId="13" fillId="32" borderId="66" xfId="0" applyNumberFormat="1" applyFont="1" applyFill="1" applyBorder="1" applyProtection="1">
      <protection locked="0"/>
    </xf>
    <xf numFmtId="173" fontId="13" fillId="32" borderId="36" xfId="0" applyNumberFormat="1" applyFont="1" applyFill="1" applyBorder="1" applyProtection="1">
      <protection locked="0"/>
    </xf>
    <xf numFmtId="173" fontId="13" fillId="32" borderId="51" xfId="0" applyNumberFormat="1" applyFont="1" applyFill="1" applyBorder="1" applyProtection="1">
      <protection locked="0"/>
    </xf>
    <xf numFmtId="173" fontId="13" fillId="32" borderId="45" xfId="0" applyNumberFormat="1" applyFont="1" applyFill="1" applyBorder="1" applyProtection="1">
      <protection locked="0"/>
    </xf>
    <xf numFmtId="173" fontId="13" fillId="32" borderId="46" xfId="28" applyNumberFormat="1" applyFont="1" applyFill="1" applyBorder="1" applyProtection="1">
      <protection locked="0"/>
    </xf>
    <xf numFmtId="173" fontId="13" fillId="32" borderId="45" xfId="28" applyNumberFormat="1" applyFont="1" applyFill="1" applyBorder="1" applyProtection="1">
      <protection locked="0"/>
    </xf>
    <xf numFmtId="173" fontId="13" fillId="32" borderId="22" xfId="28" applyNumberFormat="1" applyFont="1" applyFill="1" applyBorder="1" applyProtection="1">
      <protection locked="0"/>
    </xf>
    <xf numFmtId="173" fontId="13" fillId="32" borderId="62" xfId="0" applyNumberFormat="1" applyFont="1" applyFill="1" applyBorder="1" applyProtection="1">
      <protection locked="0"/>
    </xf>
    <xf numFmtId="0" fontId="13" fillId="32" borderId="10" xfId="0" applyFont="1" applyFill="1" applyBorder="1" applyProtection="1">
      <protection locked="0"/>
    </xf>
    <xf numFmtId="0" fontId="13" fillId="32" borderId="19" xfId="0" applyFont="1" applyFill="1" applyBorder="1" applyProtection="1">
      <protection locked="0"/>
    </xf>
    <xf numFmtId="173" fontId="13" fillId="32" borderId="19" xfId="0" applyNumberFormat="1" applyFont="1" applyFill="1" applyBorder="1" applyProtection="1">
      <protection locked="0"/>
    </xf>
    <xf numFmtId="169" fontId="13" fillId="32" borderId="10" xfId="42" applyNumberFormat="1" applyFont="1" applyFill="1" applyBorder="1" applyAlignment="1" applyProtection="1">
      <alignment horizontal="center" vertical="top" wrapText="1"/>
      <protection locked="0"/>
    </xf>
    <xf numFmtId="169" fontId="13" fillId="32" borderId="45" xfId="42" applyNumberFormat="1" applyFont="1" applyFill="1" applyBorder="1" applyAlignment="1" applyProtection="1">
      <alignment horizontal="center" vertical="top" wrapText="1"/>
      <protection locked="0"/>
    </xf>
    <xf numFmtId="169" fontId="13" fillId="32" borderId="22" xfId="42" applyNumberFormat="1" applyFont="1" applyFill="1" applyBorder="1" applyAlignment="1" applyProtection="1">
      <alignment horizontal="center" vertical="top" wrapText="1"/>
      <protection locked="0"/>
    </xf>
    <xf numFmtId="169" fontId="13" fillId="32" borderId="46" xfId="42" applyNumberFormat="1" applyFont="1" applyFill="1" applyBorder="1" applyAlignment="1" applyProtection="1">
      <alignment horizontal="center" vertical="top" wrapText="1"/>
      <protection locked="0"/>
    </xf>
    <xf numFmtId="169" fontId="13" fillId="32" borderId="19" xfId="42" applyNumberFormat="1" applyFont="1" applyFill="1" applyBorder="1" applyAlignment="1" applyProtection="1">
      <alignment horizontal="center" vertical="top" wrapText="1"/>
      <protection locked="0"/>
    </xf>
    <xf numFmtId="169" fontId="13" fillId="32" borderId="58" xfId="42" applyNumberFormat="1" applyFont="1" applyFill="1" applyBorder="1" applyAlignment="1" applyProtection="1">
      <alignment horizontal="center" vertical="top" wrapText="1"/>
      <protection locked="0"/>
    </xf>
    <xf numFmtId="169" fontId="13" fillId="32" borderId="24" xfId="42" applyNumberFormat="1" applyFont="1" applyFill="1" applyBorder="1" applyAlignment="1" applyProtection="1">
      <alignment horizontal="center" vertical="top" wrapText="1"/>
      <protection locked="0"/>
    </xf>
    <xf numFmtId="169" fontId="13" fillId="32" borderId="50" xfId="42" applyNumberFormat="1" applyFont="1" applyFill="1" applyBorder="1" applyAlignment="1" applyProtection="1">
      <alignment horizontal="center" vertical="top" wrapText="1"/>
      <protection locked="0"/>
    </xf>
    <xf numFmtId="170" fontId="13" fillId="32" borderId="0" xfId="0" applyNumberFormat="1" applyFont="1" applyFill="1" applyBorder="1" applyProtection="1">
      <protection locked="0"/>
    </xf>
    <xf numFmtId="170" fontId="13" fillId="32" borderId="13" xfId="0" applyNumberFormat="1" applyFont="1" applyFill="1" applyBorder="1" applyProtection="1">
      <protection locked="0"/>
    </xf>
    <xf numFmtId="170" fontId="13" fillId="32" borderId="0" xfId="28" applyNumberFormat="1" applyFont="1" applyFill="1" applyBorder="1" applyProtection="1">
      <protection locked="0"/>
    </xf>
    <xf numFmtId="170" fontId="13" fillId="32" borderId="13" xfId="28" applyNumberFormat="1" applyFont="1" applyFill="1" applyBorder="1" applyProtection="1">
      <protection locked="0"/>
    </xf>
    <xf numFmtId="170" fontId="13" fillId="32" borderId="14" xfId="28" applyNumberFormat="1" applyFont="1" applyFill="1" applyBorder="1" applyProtection="1">
      <protection locked="0"/>
    </xf>
    <xf numFmtId="170" fontId="13" fillId="32" borderId="14" xfId="0" applyNumberFormat="1" applyFont="1" applyFill="1" applyBorder="1" applyProtection="1">
      <protection locked="0"/>
    </xf>
    <xf numFmtId="170" fontId="13" fillId="32" borderId="17" xfId="0" applyNumberFormat="1" applyFont="1" applyFill="1" applyBorder="1" applyProtection="1">
      <protection locked="0"/>
    </xf>
    <xf numFmtId="0" fontId="13" fillId="32" borderId="11" xfId="0" applyFont="1" applyFill="1" applyBorder="1" applyProtection="1">
      <protection locked="0"/>
    </xf>
    <xf numFmtId="0" fontId="13" fillId="32" borderId="11" xfId="0" applyNumberFormat="1" applyFont="1" applyFill="1" applyBorder="1" applyAlignment="1" applyProtection="1">
      <alignment horizontal="left" indent="1"/>
      <protection locked="0"/>
    </xf>
    <xf numFmtId="0" fontId="13" fillId="32" borderId="11" xfId="0" applyFont="1" applyFill="1" applyBorder="1" applyAlignment="1" applyProtection="1">
      <alignment horizontal="left" indent="2"/>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7" fillId="32" borderId="11" xfId="0" applyFont="1" applyFill="1" applyBorder="1" applyAlignment="1" applyProtection="1">
      <alignment horizontal="left" indent="2"/>
      <protection locked="0"/>
    </xf>
    <xf numFmtId="0" fontId="13" fillId="32" borderId="0" xfId="0" applyFont="1" applyFill="1" applyProtection="1">
      <protection locked="0"/>
    </xf>
    <xf numFmtId="173" fontId="14" fillId="32" borderId="67" xfId="0" applyNumberFormat="1" applyFont="1" applyFill="1" applyBorder="1" applyProtection="1">
      <protection locked="0"/>
    </xf>
    <xf numFmtId="173" fontId="14" fillId="32" borderId="52" xfId="0" applyNumberFormat="1" applyFont="1" applyFill="1" applyBorder="1" applyProtection="1">
      <protection locked="0"/>
    </xf>
    <xf numFmtId="0" fontId="17" fillId="32" borderId="0" xfId="0" applyFont="1" applyFill="1" applyBorder="1" applyAlignment="1" applyProtection="1">
      <alignment horizontal="left" indent="2"/>
      <protection locked="0"/>
    </xf>
    <xf numFmtId="173" fontId="14" fillId="32" borderId="10" xfId="0" applyNumberFormat="1" applyFont="1" applyFill="1" applyBorder="1" applyProtection="1">
      <protection locked="0"/>
    </xf>
    <xf numFmtId="173" fontId="14" fillId="32" borderId="26" xfId="0" applyNumberFormat="1" applyFont="1" applyFill="1" applyBorder="1" applyProtection="1">
      <protection locked="0"/>
    </xf>
    <xf numFmtId="173" fontId="14" fillId="32" borderId="22" xfId="0" applyNumberFormat="1" applyFont="1" applyFill="1" applyBorder="1" applyProtection="1">
      <protection locked="0"/>
    </xf>
    <xf numFmtId="173" fontId="14" fillId="32" borderId="46" xfId="0" applyNumberFormat="1" applyFont="1" applyFill="1" applyBorder="1" applyProtection="1">
      <protection locked="0"/>
    </xf>
    <xf numFmtId="0" fontId="14" fillId="32" borderId="62" xfId="0" applyFont="1" applyFill="1" applyBorder="1" applyAlignment="1" applyProtection="1">
      <alignment horizontal="center" vertical="center"/>
      <protection locked="0"/>
    </xf>
    <xf numFmtId="0" fontId="14" fillId="32" borderId="36" xfId="0" applyFont="1" applyFill="1" applyBorder="1" applyAlignment="1" applyProtection="1">
      <alignment horizontal="center" vertical="center"/>
      <protection locked="0"/>
    </xf>
    <xf numFmtId="0" fontId="14" fillId="32" borderId="81" xfId="0" applyFont="1" applyFill="1" applyBorder="1" applyAlignment="1" applyProtection="1">
      <alignment horizontal="center" vertical="center"/>
      <protection locked="0"/>
    </xf>
    <xf numFmtId="0" fontId="17" fillId="32" borderId="11" xfId="0" applyFont="1" applyFill="1" applyBorder="1" applyProtection="1">
      <protection locked="0"/>
    </xf>
    <xf numFmtId="12" fontId="13" fillId="32" borderId="82" xfId="0" applyNumberFormat="1" applyFont="1" applyFill="1" applyBorder="1" applyProtection="1">
      <protection locked="0"/>
    </xf>
    <xf numFmtId="173" fontId="13" fillId="0" borderId="72" xfId="0" applyNumberFormat="1" applyFont="1" applyBorder="1"/>
    <xf numFmtId="0" fontId="53" fillId="33" borderId="0" xfId="0" applyFont="1" applyFill="1" applyProtection="1"/>
    <xf numFmtId="0" fontId="44" fillId="33" borderId="0" xfId="0" applyFont="1" applyFill="1" applyProtection="1">
      <protection locked="0"/>
    </xf>
    <xf numFmtId="0" fontId="53" fillId="33" borderId="0" xfId="0" applyFont="1" applyFill="1" applyAlignment="1" applyProtection="1">
      <alignment horizontal="right"/>
    </xf>
    <xf numFmtId="0" fontId="53" fillId="33" borderId="11" xfId="0" applyFont="1" applyFill="1" applyBorder="1" applyAlignment="1" applyProtection="1">
      <alignment horizontal="left" indent="1"/>
      <protection locked="0"/>
    </xf>
    <xf numFmtId="0" fontId="44" fillId="32" borderId="0" xfId="0" applyFont="1" applyFill="1" applyAlignment="1" applyProtection="1">
      <alignment horizontal="left" indent="1"/>
      <protection locked="0"/>
    </xf>
    <xf numFmtId="49" fontId="53" fillId="33" borderId="0" xfId="0" applyNumberFormat="1" applyFont="1" applyFill="1" applyAlignment="1" applyProtection="1">
      <alignment horizontal="right"/>
    </xf>
    <xf numFmtId="0" fontId="47" fillId="32" borderId="72" xfId="0" applyFont="1" applyFill="1" applyBorder="1" applyProtection="1">
      <protection locked="0"/>
    </xf>
    <xf numFmtId="49" fontId="54" fillId="33" borderId="0" xfId="0" applyNumberFormat="1" applyFont="1" applyFill="1" applyAlignment="1" applyProtection="1">
      <alignment horizontal="right"/>
    </xf>
    <xf numFmtId="0" fontId="54" fillId="33" borderId="0" xfId="0" applyFont="1" applyFill="1" applyAlignment="1" applyProtection="1">
      <alignment horizontal="right"/>
    </xf>
    <xf numFmtId="0" fontId="53" fillId="33" borderId="0" xfId="0" applyFont="1" applyFill="1" applyProtection="1">
      <protection locked="0"/>
    </xf>
    <xf numFmtId="0" fontId="55" fillId="33" borderId="0" xfId="0" applyFont="1" applyFill="1" applyProtection="1"/>
    <xf numFmtId="0" fontId="48" fillId="33" borderId="0" xfId="0" applyFont="1" applyFill="1" applyProtection="1"/>
    <xf numFmtId="0" fontId="56" fillId="33" borderId="0" xfId="0" applyFont="1" applyFill="1" applyAlignment="1" applyProtection="1">
      <alignment horizontal="right"/>
    </xf>
    <xf numFmtId="0" fontId="13" fillId="0" borderId="26" xfId="0" applyFont="1" applyFill="1" applyBorder="1" applyAlignment="1" applyProtection="1">
      <alignment horizontal="left" indent="1"/>
    </xf>
    <xf numFmtId="0" fontId="14" fillId="0" borderId="26" xfId="0" applyFont="1" applyFill="1" applyBorder="1" applyAlignment="1" applyProtection="1">
      <alignment horizontal="left" indent="1"/>
    </xf>
    <xf numFmtId="0" fontId="23" fillId="0" borderId="17" xfId="0" applyFont="1" applyBorder="1" applyProtection="1">
      <protection hidden="1"/>
    </xf>
    <xf numFmtId="0" fontId="23" fillId="0" borderId="0" xfId="0" applyFont="1" applyProtection="1">
      <protection hidden="1"/>
    </xf>
    <xf numFmtId="0" fontId="23" fillId="0" borderId="0" xfId="0" applyFont="1" applyProtection="1"/>
    <xf numFmtId="0" fontId="23" fillId="0" borderId="0" xfId="0" applyFont="1" applyBorder="1" applyProtection="1">
      <protection hidden="1"/>
    </xf>
    <xf numFmtId="0" fontId="23" fillId="0" borderId="13" xfId="0" applyFont="1" applyBorder="1" applyProtection="1">
      <protection hidden="1"/>
    </xf>
    <xf numFmtId="0" fontId="49" fillId="0" borderId="0" xfId="0" applyFont="1" applyBorder="1" applyProtection="1">
      <protection hidden="1"/>
    </xf>
    <xf numFmtId="0" fontId="50" fillId="0" borderId="13" xfId="0" applyFont="1" applyBorder="1" applyProtection="1">
      <protection hidden="1"/>
    </xf>
    <xf numFmtId="0" fontId="12" fillId="0" borderId="83" xfId="0" applyFont="1" applyBorder="1" applyAlignment="1" applyProtection="1">
      <alignment horizontal="left" vertical="top" wrapText="1"/>
    </xf>
    <xf numFmtId="0" fontId="12" fillId="32" borderId="84" xfId="0" applyFont="1" applyFill="1" applyBorder="1" applyAlignment="1" applyProtection="1">
      <alignment horizontal="justify" vertical="center" wrapText="1"/>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quotePrefix="1" applyNumberFormat="1" applyFont="1" applyProtection="1"/>
    <xf numFmtId="0" fontId="23" fillId="0" borderId="0" xfId="0" applyFont="1" applyAlignment="1">
      <alignment wrapText="1"/>
    </xf>
    <xf numFmtId="0" fontId="23" fillId="0" borderId="0" xfId="0" applyNumberFormat="1" applyFont="1" applyProtection="1"/>
    <xf numFmtId="0" fontId="12" fillId="0" borderId="16" xfId="0" applyFont="1" applyFill="1" applyBorder="1" applyAlignment="1" applyProtection="1">
      <alignment horizontal="left" vertical="top" wrapText="1"/>
    </xf>
    <xf numFmtId="0" fontId="12" fillId="0" borderId="17" xfId="0" applyFont="1" applyFill="1" applyBorder="1" applyAlignment="1" applyProtection="1">
      <alignment horizontal="justify" vertical="center" wrapText="1"/>
      <protection locked="0"/>
    </xf>
    <xf numFmtId="0" fontId="23" fillId="0" borderId="0" xfId="0" applyFont="1" applyAlignment="1" applyProtection="1">
      <alignment vertical="center"/>
    </xf>
    <xf numFmtId="0" fontId="12" fillId="0" borderId="15" xfId="0" applyFont="1" applyBorder="1" applyAlignment="1">
      <alignment vertical="center"/>
    </xf>
    <xf numFmtId="0" fontId="23" fillId="32" borderId="65" xfId="0" applyFont="1" applyFill="1" applyBorder="1" applyAlignment="1" applyProtection="1">
      <alignment vertical="center"/>
      <protection locked="0"/>
    </xf>
    <xf numFmtId="0" fontId="17" fillId="0" borderId="0" xfId="36" applyFont="1" applyAlignment="1" applyProtection="1"/>
    <xf numFmtId="0" fontId="23" fillId="0" borderId="0" xfId="0" applyFont="1" applyBorder="1" applyAlignment="1">
      <alignment vertical="center"/>
    </xf>
    <xf numFmtId="0" fontId="23" fillId="0" borderId="0" xfId="0" applyFont="1" applyAlignment="1" applyProtection="1">
      <alignment vertical="center"/>
      <protection hidden="1"/>
    </xf>
    <xf numFmtId="0" fontId="23" fillId="0" borderId="0" xfId="0" applyFont="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12" fillId="0" borderId="11" xfId="0" applyFont="1" applyFill="1" applyBorder="1" applyAlignment="1" applyProtection="1">
      <alignment horizontal="justify" vertical="center" wrapText="1"/>
    </xf>
    <xf numFmtId="0" fontId="12" fillId="0" borderId="13" xfId="0" applyFont="1" applyFill="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2" fillId="0" borderId="16"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0" fontId="12" fillId="0" borderId="11" xfId="0" applyFont="1" applyFill="1" applyBorder="1" applyAlignment="1" applyProtection="1">
      <alignment horizontal="left" vertical="top" wrapText="1"/>
    </xf>
    <xf numFmtId="0" fontId="23" fillId="0" borderId="0" xfId="36" applyFont="1" applyBorder="1" applyAlignment="1" applyProtection="1"/>
    <xf numFmtId="0" fontId="12" fillId="0" borderId="0" xfId="0" applyFont="1" applyFill="1" applyBorder="1" applyAlignment="1" applyProtection="1">
      <alignment horizontal="left" vertical="top" wrapText="1"/>
      <protection locked="0"/>
    </xf>
    <xf numFmtId="0" fontId="12" fillId="0" borderId="16" xfId="0" applyFont="1" applyFill="1" applyBorder="1" applyAlignment="1" applyProtection="1">
      <alignment horizontal="justify" vertical="top" wrapText="1"/>
    </xf>
    <xf numFmtId="0" fontId="12" fillId="0" borderId="17" xfId="0" applyFont="1" applyBorder="1" applyAlignment="1" applyProtection="1">
      <alignment horizontal="justify" vertical="top" wrapText="1"/>
    </xf>
    <xf numFmtId="0" fontId="12" fillId="32" borderId="13" xfId="0" applyFont="1" applyFill="1" applyBorder="1" applyAlignment="1" applyProtection="1">
      <alignment horizontal="left" vertical="top" wrapText="1"/>
      <protection locked="0"/>
    </xf>
    <xf numFmtId="0" fontId="12" fillId="0" borderId="0" xfId="0" applyFont="1" applyFill="1" applyBorder="1" applyAlignment="1" applyProtection="1">
      <alignment horizontal="justify" vertical="top" wrapText="1"/>
    </xf>
    <xf numFmtId="0" fontId="23" fillId="0" borderId="16" xfId="0" applyFont="1" applyBorder="1" applyAlignment="1" applyProtection="1">
      <alignment horizontal="justify" vertical="top" wrapText="1"/>
    </xf>
    <xf numFmtId="0" fontId="23" fillId="0" borderId="17" xfId="0" applyFont="1" applyBorder="1" applyAlignment="1" applyProtection="1">
      <alignment horizontal="justify" vertical="top" wrapText="1"/>
    </xf>
    <xf numFmtId="0" fontId="12" fillId="0" borderId="0" xfId="0" applyFont="1" applyAlignment="1" applyProtection="1">
      <alignment vertical="center"/>
    </xf>
    <xf numFmtId="0" fontId="12" fillId="0" borderId="0" xfId="0" applyFont="1" applyProtection="1"/>
    <xf numFmtId="0" fontId="12" fillId="0" borderId="83" xfId="0" applyFont="1" applyBorder="1" applyAlignment="1" applyProtection="1">
      <alignment horizontal="justify" wrapText="1"/>
    </xf>
    <xf numFmtId="0" fontId="23" fillId="0" borderId="84" xfId="0" applyFont="1" applyBorder="1" applyAlignment="1" applyProtection="1">
      <alignment horizontal="justify" wrapText="1"/>
    </xf>
    <xf numFmtId="0" fontId="23" fillId="0" borderId="68" xfId="0" applyFont="1" applyBorder="1" applyAlignment="1" applyProtection="1">
      <alignment horizontal="justify" wrapText="1"/>
    </xf>
    <xf numFmtId="0" fontId="23" fillId="32" borderId="18" xfId="0" applyFont="1" applyFill="1" applyBorder="1" applyAlignment="1" applyProtection="1">
      <alignment horizontal="justify" wrapText="1"/>
      <protection locked="0"/>
    </xf>
    <xf numFmtId="0" fontId="23" fillId="0" borderId="15" xfId="0" applyFont="1" applyBorder="1" applyAlignment="1" applyProtection="1">
      <alignment horizontal="justify" wrapText="1"/>
    </xf>
    <xf numFmtId="0" fontId="23" fillId="0" borderId="16" xfId="0" applyFont="1" applyFill="1" applyBorder="1" applyAlignment="1" applyProtection="1">
      <alignment horizontal="justify" wrapText="1"/>
    </xf>
    <xf numFmtId="176" fontId="23" fillId="0" borderId="17" xfId="0" applyNumberFormat="1" applyFont="1" applyFill="1" applyBorder="1" applyAlignment="1" applyProtection="1">
      <alignment horizontal="justify" wrapText="1"/>
      <protection locked="0"/>
    </xf>
    <xf numFmtId="0" fontId="12" fillId="0" borderId="68" xfId="0" applyFont="1" applyBorder="1" applyAlignment="1" applyProtection="1">
      <alignment horizontal="justify" wrapText="1"/>
    </xf>
    <xf numFmtId="0" fontId="23" fillId="0" borderId="18" xfId="0" applyFont="1" applyBorder="1" applyAlignment="1" applyProtection="1">
      <alignment horizontal="justify" wrapText="1"/>
    </xf>
    <xf numFmtId="0" fontId="23" fillId="0" borderId="0" xfId="0" applyFont="1" applyFill="1" applyProtection="1">
      <protection hidden="1"/>
    </xf>
    <xf numFmtId="0" fontId="23" fillId="0" borderId="18" xfId="0" applyFont="1" applyFill="1" applyBorder="1" applyAlignment="1" applyProtection="1">
      <alignment horizontal="justify" wrapText="1"/>
    </xf>
    <xf numFmtId="0" fontId="23" fillId="32" borderId="65" xfId="0" applyFont="1" applyFill="1" applyBorder="1" applyAlignment="1" applyProtection="1">
      <alignment horizontal="justify" wrapText="1"/>
      <protection locked="0"/>
    </xf>
    <xf numFmtId="0" fontId="23" fillId="0" borderId="17" xfId="0" applyFont="1" applyFill="1" applyBorder="1" applyAlignment="1" applyProtection="1">
      <alignment horizontal="justify" wrapText="1"/>
      <protection locked="0"/>
    </xf>
    <xf numFmtId="0" fontId="23" fillId="32" borderId="18" xfId="0" applyNumberFormat="1" applyFont="1" applyFill="1" applyBorder="1" applyAlignment="1" applyProtection="1">
      <alignment horizontal="justify" wrapText="1"/>
      <protection locked="0"/>
    </xf>
    <xf numFmtId="0" fontId="23" fillId="0" borderId="11" xfId="0" applyFont="1" applyBorder="1" applyAlignment="1" applyProtection="1">
      <alignment horizontal="justify" wrapText="1"/>
    </xf>
    <xf numFmtId="0" fontId="12" fillId="0" borderId="0" xfId="0" applyFont="1" applyBorder="1" applyProtection="1"/>
    <xf numFmtId="0" fontId="12" fillId="0" borderId="0" xfId="0" quotePrefix="1" applyNumberFormat="1" applyFont="1" applyBorder="1" applyProtection="1"/>
    <xf numFmtId="0" fontId="23" fillId="0" borderId="0" xfId="0" applyFont="1" applyBorder="1" applyProtection="1"/>
    <xf numFmtId="0" fontId="12" fillId="0" borderId="68" xfId="0" applyFont="1" applyBorder="1" applyAlignment="1" applyProtection="1">
      <alignment horizontal="left"/>
    </xf>
    <xf numFmtId="0" fontId="23" fillId="0" borderId="0" xfId="0" applyFont="1" applyBorder="1"/>
    <xf numFmtId="0" fontId="17" fillId="0" borderId="0" xfId="0" applyFont="1" applyProtection="1"/>
    <xf numFmtId="0" fontId="17" fillId="0" borderId="0" xfId="0" applyFont="1" applyProtection="1">
      <protection hidden="1"/>
    </xf>
    <xf numFmtId="0" fontId="23" fillId="0" borderId="0" xfId="36" applyFont="1" applyAlignment="1" applyProtection="1">
      <protection hidden="1"/>
    </xf>
    <xf numFmtId="0" fontId="51" fillId="0" borderId="0" xfId="36" applyFont="1" applyAlignment="1" applyProtection="1">
      <protection hidden="1"/>
    </xf>
    <xf numFmtId="0" fontId="23" fillId="0" borderId="0" xfId="0" applyFont="1" applyProtection="1">
      <protection locked="0" hidden="1"/>
    </xf>
    <xf numFmtId="0" fontId="23" fillId="0" borderId="0" xfId="0" applyFont="1" applyProtection="1">
      <protection locked="0"/>
    </xf>
    <xf numFmtId="0" fontId="51" fillId="0" borderId="0" xfId="36" applyFont="1" applyAlignment="1" applyProtection="1">
      <protection locked="0" hidden="1"/>
    </xf>
    <xf numFmtId="0" fontId="23" fillId="0" borderId="0" xfId="0" applyFont="1" applyFill="1" applyProtection="1"/>
    <xf numFmtId="0" fontId="13" fillId="0" borderId="11" xfId="0" applyFont="1" applyBorder="1" applyProtection="1"/>
    <xf numFmtId="0" fontId="14" fillId="0" borderId="27" xfId="0" applyFont="1" applyBorder="1" applyProtection="1"/>
    <xf numFmtId="0" fontId="17" fillId="0" borderId="0" xfId="0" applyNumberFormat="1" applyFont="1" applyFill="1" applyBorder="1" applyProtection="1"/>
    <xf numFmtId="9" fontId="14" fillId="0" borderId="29" xfId="0" applyNumberFormat="1" applyFont="1" applyBorder="1"/>
    <xf numFmtId="0" fontId="43" fillId="0" borderId="0" xfId="0" applyFont="1"/>
    <xf numFmtId="0" fontId="43" fillId="0" borderId="0" xfId="0" applyNumberFormat="1" applyFont="1" applyProtection="1"/>
    <xf numFmtId="0" fontId="43" fillId="0" borderId="0" xfId="0" applyFont="1" applyAlignment="1" applyProtection="1">
      <alignment vertical="center"/>
    </xf>
    <xf numFmtId="0" fontId="43" fillId="0" borderId="0" xfId="0" applyFont="1" applyProtection="1"/>
    <xf numFmtId="0" fontId="0" fillId="0" borderId="0" xfId="0" applyFont="1" applyProtection="1"/>
    <xf numFmtId="0" fontId="9" fillId="0" borderId="0" xfId="0" applyFont="1" applyAlignment="1">
      <alignment horizontal="left"/>
    </xf>
    <xf numFmtId="0" fontId="14" fillId="0" borderId="19" xfId="0" applyFont="1" applyFill="1" applyBorder="1" applyAlignment="1">
      <alignment horizontal="center" vertical="center" wrapText="1"/>
    </xf>
    <xf numFmtId="0" fontId="14" fillId="0" borderId="39" xfId="0" applyFont="1" applyFill="1" applyBorder="1" applyAlignment="1">
      <alignment vertical="center" wrapText="1"/>
    </xf>
    <xf numFmtId="12" fontId="13" fillId="32" borderId="18" xfId="0" applyNumberFormat="1" applyFont="1" applyFill="1" applyBorder="1" applyProtection="1">
      <protection locked="0"/>
    </xf>
    <xf numFmtId="173" fontId="13" fillId="0" borderId="39" xfId="0" applyNumberFormat="1" applyFont="1" applyBorder="1"/>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3" fillId="0" borderId="36" xfId="0" applyNumberFormat="1" applyFont="1" applyBorder="1"/>
    <xf numFmtId="9" fontId="14" fillId="0" borderId="49" xfId="42" applyFont="1" applyFill="1" applyBorder="1" applyAlignment="1">
      <alignment horizontal="center" vertical="center" wrapText="1"/>
    </xf>
    <xf numFmtId="9" fontId="14" fillId="0" borderId="51" xfId="42" applyFont="1" applyFill="1" applyBorder="1" applyAlignment="1">
      <alignment horizontal="center" vertical="center"/>
    </xf>
    <xf numFmtId="169" fontId="14" fillId="0" borderId="46" xfId="42" applyNumberFormat="1" applyFont="1" applyFill="1" applyBorder="1" applyAlignment="1">
      <alignment horizontal="center" wrapText="1"/>
    </xf>
    <xf numFmtId="169" fontId="13" fillId="0" borderId="49" xfId="42" applyNumberFormat="1" applyFont="1" applyFill="1" applyBorder="1" applyAlignment="1">
      <alignment horizontal="center" vertical="top" wrapText="1"/>
    </xf>
    <xf numFmtId="169" fontId="14" fillId="0" borderId="49" xfId="42" applyNumberFormat="1" applyFont="1" applyFill="1" applyBorder="1" applyAlignment="1">
      <alignment horizontal="center" vertical="top" wrapText="1"/>
    </xf>
    <xf numFmtId="169" fontId="14" fillId="0" borderId="47" xfId="42" applyNumberFormat="1" applyFont="1" applyFill="1" applyBorder="1" applyAlignment="1">
      <alignment horizontal="center" vertical="top" wrapText="1"/>
    </xf>
    <xf numFmtId="169" fontId="14" fillId="0" borderId="56" xfId="42" applyNumberFormat="1" applyFont="1" applyFill="1" applyBorder="1" applyAlignment="1">
      <alignment horizontal="center" vertical="top" wrapText="1"/>
    </xf>
    <xf numFmtId="0" fontId="14" fillId="0" borderId="0" xfId="0" applyFont="1" applyFill="1" applyBorder="1" applyAlignment="1">
      <alignment wrapText="1"/>
    </xf>
    <xf numFmtId="173" fontId="13" fillId="0" borderId="11" xfId="0" applyNumberFormat="1" applyFont="1" applyBorder="1"/>
    <xf numFmtId="173" fontId="14" fillId="0" borderId="11" xfId="0" applyNumberFormat="1" applyFont="1" applyBorder="1"/>
    <xf numFmtId="173" fontId="14" fillId="0" borderId="28" xfId="0" applyNumberFormat="1" applyFont="1" applyFill="1" applyBorder="1"/>
    <xf numFmtId="0" fontId="0" fillId="0" borderId="0" xfId="0" applyFill="1"/>
    <xf numFmtId="0" fontId="43" fillId="0" borderId="0" xfId="0" applyFont="1" applyFill="1"/>
    <xf numFmtId="0" fontId="43" fillId="34" borderId="0" xfId="0" applyFont="1" applyFill="1"/>
    <xf numFmtId="49" fontId="23" fillId="0" borderId="68" xfId="0" applyNumberFormat="1" applyFont="1" applyBorder="1" applyAlignment="1" applyProtection="1">
      <alignment horizontal="justify" wrapText="1"/>
    </xf>
    <xf numFmtId="49" fontId="23" fillId="32" borderId="18" xfId="0" applyNumberFormat="1" applyFont="1" applyFill="1" applyBorder="1" applyAlignment="1" applyProtection="1">
      <alignment horizontal="justify" wrapText="1"/>
      <protection locked="0"/>
    </xf>
    <xf numFmtId="0" fontId="8" fillId="0" borderId="0" xfId="0" applyFont="1" applyProtection="1">
      <protection hidden="1"/>
    </xf>
    <xf numFmtId="0" fontId="8" fillId="0" borderId="0" xfId="0" applyFont="1" applyProtection="1"/>
    <xf numFmtId="0" fontId="52" fillId="0" borderId="0" xfId="0" applyFont="1" applyAlignment="1">
      <alignment wrapText="1"/>
    </xf>
    <xf numFmtId="0" fontId="8" fillId="0" borderId="0" xfId="0" applyFont="1"/>
    <xf numFmtId="0" fontId="42" fillId="0" borderId="0" xfId="0" applyFont="1" applyProtection="1"/>
    <xf numFmtId="0" fontId="42" fillId="0" borderId="0" xfId="0" quotePrefix="1" applyNumberFormat="1" applyFont="1" applyProtection="1"/>
    <xf numFmtId="0" fontId="8" fillId="0" borderId="0" xfId="0" applyFont="1" applyBorder="1" applyProtection="1">
      <protection hidden="1"/>
    </xf>
    <xf numFmtId="0" fontId="42" fillId="0" borderId="0" xfId="0" applyFont="1" applyBorder="1" applyProtection="1"/>
    <xf numFmtId="0" fontId="42" fillId="0" borderId="0" xfId="0" quotePrefix="1" applyNumberFormat="1" applyFont="1" applyBorder="1" applyProtection="1"/>
    <xf numFmtId="0" fontId="8" fillId="0" borderId="0" xfId="0" applyFont="1" applyBorder="1" applyProtection="1"/>
    <xf numFmtId="0" fontId="0" fillId="0" borderId="0" xfId="0" applyBorder="1" applyProtection="1"/>
    <xf numFmtId="0" fontId="8"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8" fillId="0" borderId="0" xfId="0" applyFont="1" applyProtection="1">
      <protection locked="0" hidden="1"/>
    </xf>
    <xf numFmtId="0" fontId="8" fillId="0" borderId="0" xfId="0" applyFont="1" applyProtection="1">
      <protection locked="0"/>
    </xf>
    <xf numFmtId="49" fontId="23" fillId="0" borderId="0" xfId="0" applyNumberFormat="1" applyFont="1" applyFill="1" applyBorder="1" applyAlignment="1" applyProtection="1">
      <alignment horizontal="justify" wrapText="1"/>
    </xf>
    <xf numFmtId="49" fontId="23" fillId="0" borderId="0" xfId="0" applyNumberFormat="1" applyFont="1" applyFill="1" applyBorder="1" applyAlignment="1" applyProtection="1">
      <alignment horizontal="justify" wrapText="1"/>
      <protection locked="0"/>
    </xf>
    <xf numFmtId="0" fontId="13" fillId="0" borderId="11" xfId="0" applyNumberFormat="1" applyFont="1" applyBorder="1" applyAlignment="1">
      <alignment horizontal="left" wrapText="1" indent="1"/>
    </xf>
    <xf numFmtId="0" fontId="13" fillId="0" borderId="11" xfId="0" applyNumberFormat="1" applyFont="1" applyFill="1" applyBorder="1"/>
    <xf numFmtId="0" fontId="16" fillId="0" borderId="11" xfId="0" applyNumberFormat="1" applyFont="1" applyFill="1" applyBorder="1"/>
    <xf numFmtId="173" fontId="14" fillId="0" borderId="54" xfId="0" applyNumberFormat="1" applyFont="1" applyFill="1" applyBorder="1"/>
    <xf numFmtId="173" fontId="14" fillId="0" borderId="62" xfId="0" applyNumberFormat="1" applyFont="1" applyFill="1" applyBorder="1"/>
    <xf numFmtId="173" fontId="14" fillId="0" borderId="36" xfId="0" applyNumberFormat="1" applyFont="1" applyFill="1" applyBorder="1"/>
    <xf numFmtId="173" fontId="14" fillId="0" borderId="51" xfId="0" applyNumberFormat="1" applyFont="1" applyFill="1" applyBorder="1"/>
    <xf numFmtId="49" fontId="23" fillId="32" borderId="65" xfId="0" applyNumberFormat="1" applyFont="1" applyFill="1" applyBorder="1" applyAlignment="1" applyProtection="1">
      <alignment horizontal="justify" wrapText="1"/>
      <protection locked="0"/>
    </xf>
    <xf numFmtId="49" fontId="58" fillId="32" borderId="13" xfId="47" applyNumberFormat="1" applyFill="1" applyBorder="1" applyAlignment="1" applyProtection="1">
      <alignment horizontal="justify" vertical="top" wrapText="1"/>
      <protection locked="0"/>
    </xf>
    <xf numFmtId="49" fontId="23" fillId="32" borderId="13" xfId="0" applyNumberFormat="1" applyFont="1" applyFill="1" applyBorder="1" applyAlignment="1" applyProtection="1">
      <alignment horizontal="justify" wrapText="1"/>
      <protection locked="0"/>
    </xf>
    <xf numFmtId="49" fontId="59" fillId="32" borderId="65" xfId="47" applyNumberFormat="1" applyFont="1" applyFill="1" applyBorder="1" applyAlignment="1" applyProtection="1">
      <alignment horizontal="justify" wrapText="1"/>
      <protection locked="0"/>
    </xf>
    <xf numFmtId="173" fontId="13" fillId="32" borderId="22" xfId="48"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28" applyNumberFormat="1" applyFont="1" applyFill="1" applyBorder="1" applyProtection="1">
      <protection locked="0"/>
    </xf>
    <xf numFmtId="173" fontId="13" fillId="32" borderId="22" xfId="66" applyNumberFormat="1" applyFont="1" applyFill="1" applyBorder="1" applyProtection="1">
      <protection locked="0"/>
    </xf>
    <xf numFmtId="49" fontId="23" fillId="32" borderId="18" xfId="0" quotePrefix="1" applyNumberFormat="1" applyFont="1" applyFill="1" applyBorder="1" applyAlignment="1" applyProtection="1">
      <alignment horizontal="justify" wrapText="1"/>
      <protection locked="0"/>
    </xf>
    <xf numFmtId="49" fontId="58" fillId="32" borderId="18" xfId="47" applyNumberFormat="1" applyFill="1" applyBorder="1" applyAlignment="1" applyProtection="1">
      <alignment horizontal="justify" wrapText="1"/>
      <protection locked="0"/>
    </xf>
    <xf numFmtId="173" fontId="13" fillId="32" borderId="22" xfId="86" applyNumberFormat="1" applyFont="1" applyFill="1" applyBorder="1" applyProtection="1">
      <protection locked="0"/>
    </xf>
    <xf numFmtId="0" fontId="13" fillId="32" borderId="11" xfId="0" applyNumberFormat="1" applyFont="1" applyFill="1" applyBorder="1" applyAlignment="1" applyProtection="1">
      <alignment horizontal="left" indent="2"/>
      <protection locked="0"/>
    </xf>
    <xf numFmtId="0" fontId="13" fillId="0" borderId="11" xfId="0" applyNumberFormat="1" applyFont="1" applyBorder="1" applyAlignment="1">
      <alignment horizontal="left" indent="2"/>
    </xf>
    <xf numFmtId="164" fontId="13" fillId="32" borderId="22" xfId="0"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6" borderId="22" xfId="0" applyNumberFormat="1" applyFont="1" applyFill="1" applyBorder="1" applyAlignment="1" applyProtection="1">
      <alignment horizontal="right"/>
      <protection locked="0"/>
    </xf>
    <xf numFmtId="0" fontId="17" fillId="28" borderId="11" xfId="0" applyFont="1" applyFill="1" applyBorder="1" applyAlignment="1" applyProtection="1">
      <alignment horizontal="left" indent="1"/>
      <protection locked="0"/>
    </xf>
    <xf numFmtId="43" fontId="13" fillId="32" borderId="22" xfId="0" applyNumberFormat="1" applyFont="1" applyFill="1" applyBorder="1" applyProtection="1">
      <protection locked="0"/>
    </xf>
    <xf numFmtId="43" fontId="13" fillId="28" borderId="13" xfId="0" applyNumberFormat="1" applyFont="1" applyFill="1" applyBorder="1" applyProtection="1">
      <protection locked="0"/>
    </xf>
    <xf numFmtId="43" fontId="13" fillId="32" borderId="46" xfId="0"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9" fontId="13" fillId="32" borderId="10" xfId="42" applyFont="1" applyFill="1" applyBorder="1" applyProtection="1">
      <protection locked="0"/>
    </xf>
    <xf numFmtId="0" fontId="13" fillId="32" borderId="10" xfId="0" applyFont="1" applyFill="1" applyBorder="1" applyAlignment="1" applyProtection="1">
      <alignment wrapText="1"/>
      <protection locked="0"/>
    </xf>
    <xf numFmtId="0" fontId="10" fillId="30" borderId="68" xfId="0" applyFont="1" applyFill="1" applyBorder="1" applyAlignment="1">
      <alignment horizontal="center"/>
    </xf>
    <xf numFmtId="0" fontId="10" fillId="30" borderId="71" xfId="0" applyFont="1" applyFill="1" applyBorder="1" applyAlignment="1">
      <alignment horizontal="center"/>
    </xf>
    <xf numFmtId="0" fontId="10" fillId="30" borderId="18" xfId="0" applyFont="1" applyFill="1" applyBorder="1" applyAlignment="1">
      <alignment horizontal="center"/>
    </xf>
    <xf numFmtId="0" fontId="10" fillId="24" borderId="68" xfId="0" applyFont="1" applyFill="1" applyBorder="1" applyAlignment="1">
      <alignment horizontal="center"/>
    </xf>
    <xf numFmtId="0" fontId="10" fillId="24" borderId="71" xfId="0" applyFont="1" applyFill="1" applyBorder="1" applyAlignment="1">
      <alignment horizontal="center"/>
    </xf>
    <xf numFmtId="0" fontId="10" fillId="31" borderId="68" xfId="0" applyFont="1" applyFill="1" applyBorder="1" applyAlignment="1">
      <alignment horizontal="center"/>
    </xf>
    <xf numFmtId="0" fontId="10" fillId="31" borderId="71" xfId="0" applyFont="1" applyFill="1" applyBorder="1" applyAlignment="1">
      <alignment horizontal="center"/>
    </xf>
    <xf numFmtId="0" fontId="10" fillId="31" borderId="18" xfId="0" applyFont="1" applyFill="1" applyBorder="1" applyAlignment="1">
      <alignment horizontal="center"/>
    </xf>
    <xf numFmtId="0" fontId="12" fillId="0" borderId="88" xfId="0" applyFont="1" applyBorder="1" applyAlignment="1" applyProtection="1">
      <alignment horizontal="justify" wrapText="1"/>
    </xf>
    <xf numFmtId="0" fontId="12" fillId="0" borderId="89" xfId="0" applyFont="1" applyBorder="1" applyAlignment="1" applyProtection="1">
      <alignment horizontal="justify" wrapText="1"/>
    </xf>
    <xf numFmtId="0" fontId="12" fillId="0" borderId="68" xfId="0" applyFont="1" applyBorder="1" applyAlignment="1" applyProtection="1">
      <alignment horizontal="justify" wrapText="1"/>
    </xf>
    <xf numFmtId="0" fontId="12" fillId="0" borderId="18" xfId="0" applyFont="1" applyBorder="1" applyAlignment="1" applyProtection="1">
      <alignment horizontal="justify" wrapText="1"/>
    </xf>
    <xf numFmtId="49" fontId="12" fillId="0" borderId="68" xfId="0" applyNumberFormat="1" applyFont="1" applyBorder="1" applyAlignment="1" applyProtection="1">
      <alignment horizontal="justify" wrapText="1"/>
    </xf>
    <xf numFmtId="49" fontId="23" fillId="0" borderId="18" xfId="0" applyNumberFormat="1" applyFont="1" applyBorder="1" applyAlignment="1">
      <alignment horizontal="justify" wrapText="1"/>
    </xf>
    <xf numFmtId="0" fontId="23" fillId="0" borderId="89" xfId="0" applyFont="1" applyBorder="1" applyAlignment="1">
      <alignment horizontal="justify" wrapText="1"/>
    </xf>
    <xf numFmtId="0" fontId="23" fillId="0" borderId="18" xfId="0" applyFont="1" applyBorder="1" applyAlignment="1">
      <alignment horizontal="justify" wrapText="1"/>
    </xf>
    <xf numFmtId="0" fontId="49" fillId="0" borderId="85" xfId="0" applyFont="1" applyBorder="1" applyAlignment="1" applyProtection="1">
      <alignment horizontal="justify" vertical="center" wrapText="1"/>
    </xf>
    <xf numFmtId="0" fontId="49" fillId="0" borderId="86" xfId="0" applyFont="1" applyBorder="1" applyAlignment="1" applyProtection="1">
      <alignment horizontal="justify" vertical="center" wrapText="1"/>
    </xf>
    <xf numFmtId="0" fontId="12" fillId="0" borderId="85" xfId="0" applyFont="1" applyBorder="1" applyAlignment="1" applyProtection="1">
      <alignment horizontal="justify" vertical="center" wrapText="1"/>
    </xf>
    <xf numFmtId="0" fontId="12" fillId="0" borderId="86" xfId="0" applyFont="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justify" vertical="top" wrapText="1"/>
    </xf>
    <xf numFmtId="0" fontId="49" fillId="0" borderId="87" xfId="0" applyFont="1" applyBorder="1" applyAlignment="1" applyProtection="1">
      <alignment horizontal="justify" vertical="center" wrapText="1"/>
    </xf>
    <xf numFmtId="0" fontId="50" fillId="0" borderId="87" xfId="0" applyFont="1" applyBorder="1" applyAlignment="1">
      <alignment horizontal="justify" vertical="center" wrapText="1"/>
    </xf>
    <xf numFmtId="0" fontId="49" fillId="0" borderId="85" xfId="0" applyFont="1" applyBorder="1" applyAlignment="1" applyProtection="1">
      <alignment horizontal="justify" vertical="center"/>
    </xf>
    <xf numFmtId="0" fontId="23" fillId="0" borderId="86" xfId="0" applyFont="1" applyBorder="1" applyAlignment="1">
      <alignment horizontal="justify" vertical="center"/>
    </xf>
    <xf numFmtId="0" fontId="23" fillId="0" borderId="86" xfId="0" applyFont="1" applyBorder="1" applyAlignment="1">
      <alignment horizontal="justify" vertical="center" wrapText="1"/>
    </xf>
    <xf numFmtId="49" fontId="12" fillId="0" borderId="0" xfId="0" applyNumberFormat="1" applyFont="1" applyFill="1" applyBorder="1" applyAlignment="1" applyProtection="1">
      <alignment horizontal="justify" wrapText="1"/>
    </xf>
    <xf numFmtId="49" fontId="23" fillId="0" borderId="0" xfId="0" applyNumberFormat="1" applyFont="1" applyFill="1" applyBorder="1" applyAlignment="1">
      <alignment horizontal="justify" wrapText="1"/>
    </xf>
    <xf numFmtId="0" fontId="17" fillId="0" borderId="0" xfId="0" applyFont="1" applyFill="1" applyAlignment="1">
      <alignment horizontal="left" wrapText="1"/>
    </xf>
    <xf numFmtId="0" fontId="14" fillId="0" borderId="39" xfId="0" applyFont="1" applyFill="1" applyBorder="1" applyAlignment="1">
      <alignment horizontal="center" vertical="center"/>
    </xf>
    <xf numFmtId="0" fontId="45" fillId="0" borderId="10" xfId="0" applyFont="1" applyBorder="1"/>
    <xf numFmtId="0" fontId="14" fillId="0" borderId="9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4" xfId="0" applyFont="1" applyFill="1" applyBorder="1" applyAlignment="1">
      <alignment horizontal="left" wrapText="1"/>
    </xf>
    <xf numFmtId="0" fontId="17" fillId="0" borderId="0" xfId="0" applyFont="1" applyFill="1" applyBorder="1" applyAlignment="1" applyProtection="1">
      <alignment horizontal="left" vertical="top" wrapTex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4" fillId="24" borderId="68" xfId="0" applyFont="1" applyFill="1" applyBorder="1" applyAlignment="1">
      <alignment horizontal="center" vertical="center" wrapText="1"/>
    </xf>
    <xf numFmtId="0" fontId="45" fillId="0" borderId="71" xfId="0" applyFont="1" applyBorder="1"/>
    <xf numFmtId="0" fontId="45" fillId="0" borderId="18" xfId="0" applyFont="1" applyBorder="1"/>
    <xf numFmtId="0" fontId="14" fillId="0" borderId="53"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14" xfId="0" applyFont="1" applyFill="1" applyBorder="1" applyAlignment="1">
      <alignment horizontal="left"/>
    </xf>
    <xf numFmtId="0" fontId="17" fillId="0" borderId="0" xfId="0" quotePrefix="1" applyFont="1" applyBorder="1" applyAlignment="1">
      <alignment horizontal="left" wrapText="1"/>
    </xf>
    <xf numFmtId="0" fontId="17" fillId="0" borderId="0" xfId="0" applyFont="1" applyBorder="1" applyAlignment="1">
      <alignment horizontal="left" wrapText="1"/>
    </xf>
    <xf numFmtId="0" fontId="17" fillId="0" borderId="0" xfId="0" applyFont="1" applyBorder="1" applyAlignment="1">
      <alignment wrapText="1"/>
    </xf>
    <xf numFmtId="0" fontId="12" fillId="0" borderId="14"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0" xfId="0" applyFont="1" applyFill="1" applyBorder="1" applyAlignment="1">
      <alignment horizontal="left"/>
    </xf>
    <xf numFmtId="0" fontId="14" fillId="0" borderId="90" xfId="0" applyFont="1" applyFill="1" applyBorder="1" applyAlignment="1">
      <alignment horizontal="center" wrapText="1"/>
    </xf>
    <xf numFmtId="0" fontId="14" fillId="0" borderId="41" xfId="0" applyFont="1" applyFill="1" applyBorder="1" applyAlignment="1">
      <alignment horizontal="center" wrapText="1"/>
    </xf>
    <xf numFmtId="0" fontId="14" fillId="0" borderId="20" xfId="0" applyFont="1" applyFill="1" applyBorder="1" applyAlignment="1">
      <alignment horizontal="center" wrapText="1"/>
    </xf>
    <xf numFmtId="0" fontId="14" fillId="0" borderId="3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45" fillId="0" borderId="11" xfId="0" applyFont="1" applyBorder="1"/>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57" xfId="0" applyFont="1" applyFill="1" applyBorder="1" applyAlignment="1">
      <alignment horizontal="center" vertical="center" wrapText="1"/>
    </xf>
  </cellXfs>
  <cellStyles count="313">
    <cellStyle name="20% - Accent1" xfId="1" builtinId="30" customBuiltin="1"/>
    <cellStyle name="20% - Accent1 2" xfId="183"/>
    <cellStyle name="20% - Accent1 3" xfId="160"/>
    <cellStyle name="20% - Accent2" xfId="2" builtinId="34" customBuiltin="1"/>
    <cellStyle name="20% - Accent2 2" xfId="184"/>
    <cellStyle name="20% - Accent2 3" xfId="164"/>
    <cellStyle name="20% - Accent3" xfId="3" builtinId="38" customBuiltin="1"/>
    <cellStyle name="20% - Accent3 2" xfId="185"/>
    <cellStyle name="20% - Accent3 3" xfId="168"/>
    <cellStyle name="20% - Accent4" xfId="4" builtinId="42" customBuiltin="1"/>
    <cellStyle name="20% - Accent4 2" xfId="186"/>
    <cellStyle name="20% - Accent4 3" xfId="172"/>
    <cellStyle name="20% - Accent5" xfId="5" builtinId="46" customBuiltin="1"/>
    <cellStyle name="20% - Accent5 2" xfId="188"/>
    <cellStyle name="20% - Accent5 3" xfId="176"/>
    <cellStyle name="20% - Accent6" xfId="6" builtinId="50" customBuiltin="1"/>
    <cellStyle name="20% - Accent6 2" xfId="189"/>
    <cellStyle name="20% - Accent6 3" xfId="180"/>
    <cellStyle name="40% - Accent1" xfId="7" builtinId="31" customBuiltin="1"/>
    <cellStyle name="40% - Accent1 2" xfId="190"/>
    <cellStyle name="40% - Accent1 3" xfId="161"/>
    <cellStyle name="40% - Accent2" xfId="8" builtinId="35" customBuiltin="1"/>
    <cellStyle name="40% - Accent2 2" xfId="191"/>
    <cellStyle name="40% - Accent2 3" xfId="165"/>
    <cellStyle name="40% - Accent3" xfId="9" builtinId="39" customBuiltin="1"/>
    <cellStyle name="40% - Accent3 2" xfId="192"/>
    <cellStyle name="40% - Accent3 3" xfId="169"/>
    <cellStyle name="40% - Accent4" xfId="10" builtinId="43" customBuiltin="1"/>
    <cellStyle name="40% - Accent4 2" xfId="193"/>
    <cellStyle name="40% - Accent4 3" xfId="173"/>
    <cellStyle name="40% - Accent5" xfId="11" builtinId="47" customBuiltin="1"/>
    <cellStyle name="40% - Accent5 2" xfId="194"/>
    <cellStyle name="40% - Accent5 3" xfId="177"/>
    <cellStyle name="40% - Accent6" xfId="12" builtinId="51" customBuiltin="1"/>
    <cellStyle name="40% - Accent6 2" xfId="195"/>
    <cellStyle name="40% - Accent6 3" xfId="142"/>
    <cellStyle name="60% - Accent1" xfId="13" builtinId="32" customBuiltin="1"/>
    <cellStyle name="60% - Accent1 2" xfId="196"/>
    <cellStyle name="60% - Accent1 3" xfId="162"/>
    <cellStyle name="60% - Accent2" xfId="14" builtinId="36" customBuiltin="1"/>
    <cellStyle name="60% - Accent2 2" xfId="197"/>
    <cellStyle name="60% - Accent2 3" xfId="166"/>
    <cellStyle name="60% - Accent3" xfId="15" builtinId="40" customBuiltin="1"/>
    <cellStyle name="60% - Accent3 2" xfId="198"/>
    <cellStyle name="60% - Accent3 3" xfId="170"/>
    <cellStyle name="60% - Accent4" xfId="16" builtinId="44" customBuiltin="1"/>
    <cellStyle name="60% - Accent4 2" xfId="199"/>
    <cellStyle name="60% - Accent4 3" xfId="174"/>
    <cellStyle name="60% - Accent5" xfId="17" builtinId="48" customBuiltin="1"/>
    <cellStyle name="60% - Accent5 2" xfId="200"/>
    <cellStyle name="60% - Accent5 3" xfId="178"/>
    <cellStyle name="60% - Accent6" xfId="18" builtinId="52" customBuiltin="1"/>
    <cellStyle name="60% - Accent6 2" xfId="201"/>
    <cellStyle name="60% - Accent6 3" xfId="181"/>
    <cellStyle name="Accent1" xfId="19" builtinId="29" customBuiltin="1"/>
    <cellStyle name="Accent1 2" xfId="202"/>
    <cellStyle name="Accent1 3" xfId="159"/>
    <cellStyle name="Accent2" xfId="20" builtinId="33" customBuiltin="1"/>
    <cellStyle name="Accent2 2" xfId="203"/>
    <cellStyle name="Accent2 3" xfId="163"/>
    <cellStyle name="Accent3" xfId="21" builtinId="37" customBuiltin="1"/>
    <cellStyle name="Accent3 2" xfId="204"/>
    <cellStyle name="Accent3 3" xfId="167"/>
    <cellStyle name="Accent4" xfId="22" builtinId="41" customBuiltin="1"/>
    <cellStyle name="Accent4 2" xfId="205"/>
    <cellStyle name="Accent4 3" xfId="171"/>
    <cellStyle name="Accent5" xfId="23" builtinId="45" customBuiltin="1"/>
    <cellStyle name="Accent5 2" xfId="206"/>
    <cellStyle name="Accent5 3" xfId="175"/>
    <cellStyle name="Accent6" xfId="24" builtinId="49" customBuiltin="1"/>
    <cellStyle name="Accent6 2" xfId="207"/>
    <cellStyle name="Accent6 3" xfId="179"/>
    <cellStyle name="Bad" xfId="25" builtinId="27" customBuiltin="1"/>
    <cellStyle name="Bad 2" xfId="208"/>
    <cellStyle name="Bad 3" xfId="187"/>
    <cellStyle name="Calculation" xfId="26" builtinId="22" customBuiltin="1"/>
    <cellStyle name="Calculation 2" xfId="209"/>
    <cellStyle name="Calculation 3" xfId="153"/>
    <cellStyle name="Check Cell" xfId="27" builtinId="23" customBuiltin="1"/>
    <cellStyle name="Check Cell 2" xfId="65"/>
    <cellStyle name="Check Cell 3" xfId="210"/>
    <cellStyle name="Comma" xfId="28" builtinId="3"/>
    <cellStyle name="Comma 2" xfId="49"/>
    <cellStyle name="Comma 2 2" xfId="64"/>
    <cellStyle name="Comma 2 2 2" xfId="127"/>
    <cellStyle name="Comma 2 2 2 2" xfId="297"/>
    <cellStyle name="Comma 2 3" xfId="53"/>
    <cellStyle name="Comma 2 3 2" xfId="76"/>
    <cellStyle name="Comma 2 3 2 2" xfId="109"/>
    <cellStyle name="Comma 2 3 2 2 2" xfId="280"/>
    <cellStyle name="Comma 2 3 2 3" xfId="247"/>
    <cellStyle name="Comma 2 3 3" xfId="94"/>
    <cellStyle name="Comma 2 3 3 2" xfId="265"/>
    <cellStyle name="Comma 2 3 4" xfId="136"/>
    <cellStyle name="Comma 2 3 4 2" xfId="306"/>
    <cellStyle name="Comma 2 3 5" xfId="232"/>
    <cellStyle name="Comma 2 4" xfId="69"/>
    <cellStyle name="Comma 2 4 2" xfId="84"/>
    <cellStyle name="Comma 2 4 2 2" xfId="117"/>
    <cellStyle name="Comma 2 4 2 2 2" xfId="288"/>
    <cellStyle name="Comma 2 4 2 3" xfId="255"/>
    <cellStyle name="Comma 2 4 3" xfId="102"/>
    <cellStyle name="Comma 2 4 3 2" xfId="273"/>
    <cellStyle name="Comma 2 4 4" xfId="240"/>
    <cellStyle name="Comma 2 5" xfId="72"/>
    <cellStyle name="Comma 2 5 2" xfId="105"/>
    <cellStyle name="Comma 2 5 2 2" xfId="276"/>
    <cellStyle name="Comma 2 5 3" xfId="243"/>
    <cellStyle name="Comma 2 6" xfId="90"/>
    <cellStyle name="Comma 2 6 2" xfId="261"/>
    <cellStyle name="Comma 2 7" xfId="128"/>
    <cellStyle name="Comma 2 7 2" xfId="298"/>
    <cellStyle name="Comma 2 8" xfId="228"/>
    <cellStyle name="Comma 3" xfId="54"/>
    <cellStyle name="Comma 3 2" xfId="55"/>
    <cellStyle name="Comma 3 2 2" xfId="78"/>
    <cellStyle name="Comma 3 2 2 2" xfId="111"/>
    <cellStyle name="Comma 3 2 2 2 2" xfId="282"/>
    <cellStyle name="Comma 3 2 2 3" xfId="249"/>
    <cellStyle name="Comma 3 2 3" xfId="96"/>
    <cellStyle name="Comma 3 2 3 2" xfId="267"/>
    <cellStyle name="Comma 3 2 4" xfId="132"/>
    <cellStyle name="Comma 3 2 4 2" xfId="302"/>
    <cellStyle name="Comma 3 2 5" xfId="234"/>
    <cellStyle name="Comma 3 3" xfId="77"/>
    <cellStyle name="Comma 3 3 2" xfId="110"/>
    <cellStyle name="Comma 3 3 2 2" xfId="281"/>
    <cellStyle name="Comma 3 3 3" xfId="137"/>
    <cellStyle name="Comma 3 3 3 2" xfId="307"/>
    <cellStyle name="Comma 3 3 4" xfId="248"/>
    <cellStyle name="Comma 3 4" xfId="95"/>
    <cellStyle name="Comma 3 4 2" xfId="266"/>
    <cellStyle name="Comma 3 5" xfId="126"/>
    <cellStyle name="Comma 3 5 2" xfId="296"/>
    <cellStyle name="Comma 3 6" xfId="233"/>
    <cellStyle name="Comma 4" xfId="63"/>
    <cellStyle name="Comma 4 2" xfId="138"/>
    <cellStyle name="Comma 4 2 2" xfId="308"/>
    <cellStyle name="Comma 4 3" xfId="131"/>
    <cellStyle name="Comma 4 3 2" xfId="301"/>
    <cellStyle name="Comma 5" xfId="67"/>
    <cellStyle name="Comma 5 2" xfId="83"/>
    <cellStyle name="Comma 5 2 2" xfId="116"/>
    <cellStyle name="Comma 5 2 2 2" xfId="287"/>
    <cellStyle name="Comma 5 2 3" xfId="254"/>
    <cellStyle name="Comma 5 3" xfId="101"/>
    <cellStyle name="Comma 5 3 2" xfId="272"/>
    <cellStyle name="Comma 5 4" xfId="139"/>
    <cellStyle name="Comma 5 4 2" xfId="309"/>
    <cellStyle name="Comma 5 5" xfId="239"/>
    <cellStyle name="Comma 6" xfId="52"/>
    <cellStyle name="Comma 6 2" xfId="75"/>
    <cellStyle name="Comma 6 2 2" xfId="108"/>
    <cellStyle name="Comma 6 2 2 2" xfId="279"/>
    <cellStyle name="Comma 6 2 3" xfId="246"/>
    <cellStyle name="Comma 6 3" xfId="93"/>
    <cellStyle name="Comma 6 3 2" xfId="264"/>
    <cellStyle name="Comma 6 4" xfId="140"/>
    <cellStyle name="Comma 6 4 2" xfId="310"/>
    <cellStyle name="Comma 6 5" xfId="231"/>
    <cellStyle name="Comma 7" xfId="87"/>
    <cellStyle name="Comma 7 2" xfId="120"/>
    <cellStyle name="Comma 7 2 2" xfId="291"/>
    <cellStyle name="Comma 7 3" xfId="141"/>
    <cellStyle name="Comma 7 3 2" xfId="311"/>
    <cellStyle name="Comma 7 4" xfId="258"/>
    <cellStyle name="Comma 8" xfId="123"/>
    <cellStyle name="Comma 8 2" xfId="294"/>
    <cellStyle name="Comma 9" xfId="211"/>
    <cellStyle name="Comma_B Schedule Municipal Adjustments Budget - 23 March 2009 cb" xfId="29"/>
    <cellStyle name="Currency 2" xfId="129"/>
    <cellStyle name="Currency 2 2" xfId="299"/>
    <cellStyle name="Euro" xfId="56"/>
    <cellStyle name="Explanatory Text" xfId="30" builtinId="53" customBuiltin="1"/>
    <cellStyle name="Explanatory Text 2" xfId="212"/>
    <cellStyle name="Explanatory Text 3" xfId="157"/>
    <cellStyle name="Good" xfId="31" builtinId="26" customBuiltin="1"/>
    <cellStyle name="Good 2" xfId="213"/>
    <cellStyle name="Good 3" xfId="149"/>
    <cellStyle name="Heading 1" xfId="32" builtinId="16" customBuiltin="1"/>
    <cellStyle name="Heading 1 2" xfId="214"/>
    <cellStyle name="Heading 1 3" xfId="145"/>
    <cellStyle name="Heading 2" xfId="33" builtinId="17" customBuiltin="1"/>
    <cellStyle name="Heading 2 2" xfId="215"/>
    <cellStyle name="Heading 2 3" xfId="146"/>
    <cellStyle name="Heading 3" xfId="34" builtinId="18" customBuiltin="1"/>
    <cellStyle name="Heading 3 2" xfId="216"/>
    <cellStyle name="Heading 3 3" xfId="147"/>
    <cellStyle name="Heading 4" xfId="35" builtinId="19" customBuiltin="1"/>
    <cellStyle name="Heading 4 2" xfId="217"/>
    <cellStyle name="Heading 4 3" xfId="148"/>
    <cellStyle name="Hyperlink" xfId="47" builtinId="8"/>
    <cellStyle name="Hyperlink 2" xfId="57"/>
    <cellStyle name="Hyperlink_AppA_Muncde_2010" xfId="36"/>
    <cellStyle name="Input" xfId="37" builtinId="20" customBuiltin="1"/>
    <cellStyle name="Input 2" xfId="218"/>
    <cellStyle name="Input 3" xfId="151"/>
    <cellStyle name="Linked Cell" xfId="38" builtinId="24" customBuiltin="1"/>
    <cellStyle name="Linked Cell 2" xfId="219"/>
    <cellStyle name="Linked Cell 3" xfId="154"/>
    <cellStyle name="Neutral" xfId="39" builtinId="28" customBuiltin="1"/>
    <cellStyle name="Neutral 2" xfId="220"/>
    <cellStyle name="Neutral 3" xfId="150"/>
    <cellStyle name="Normal" xfId="0" builtinId="0"/>
    <cellStyle name="Normal 10" xfId="66"/>
    <cellStyle name="Normal 2" xfId="48"/>
    <cellStyle name="Normal 2 2" xfId="62"/>
    <cellStyle name="Normal 2 2 2" xfId="82"/>
    <cellStyle name="Normal 2 2 2 2" xfId="115"/>
    <cellStyle name="Normal 2 2 2 2 2" xfId="286"/>
    <cellStyle name="Normal 2 2 2 3" xfId="253"/>
    <cellStyle name="Normal 2 2 3" xfId="100"/>
    <cellStyle name="Normal 2 2 3 2" xfId="271"/>
    <cellStyle name="Normal 2 2 4" xfId="125"/>
    <cellStyle name="Normal 2 2 5" xfId="238"/>
    <cellStyle name="Normal 2 3" xfId="58"/>
    <cellStyle name="Normal 2 3 2" xfId="79"/>
    <cellStyle name="Normal 2 3 2 2" xfId="112"/>
    <cellStyle name="Normal 2 3 2 2 2" xfId="283"/>
    <cellStyle name="Normal 2 3 2 3" xfId="250"/>
    <cellStyle name="Normal 2 3 3" xfId="97"/>
    <cellStyle name="Normal 2 3 3 2" xfId="268"/>
    <cellStyle name="Normal 2 3 4" xfId="235"/>
    <cellStyle name="Normal 2 4" xfId="71"/>
    <cellStyle name="Normal 2 4 2" xfId="104"/>
    <cellStyle name="Normal 2 4 2 2" xfId="275"/>
    <cellStyle name="Normal 2 4 3" xfId="242"/>
    <cellStyle name="Normal 2 5" xfId="89"/>
    <cellStyle name="Normal 2 5 2" xfId="260"/>
    <cellStyle name="Normal 2 6" xfId="135"/>
    <cellStyle name="Normal 2 6 2" xfId="305"/>
    <cellStyle name="Normal 2 7" xfId="227"/>
    <cellStyle name="Normal 3" xfId="59"/>
    <cellStyle name="Normal 4" xfId="51"/>
    <cellStyle name="Normal 4 2" xfId="74"/>
    <cellStyle name="Normal 4 2 2" xfId="107"/>
    <cellStyle name="Normal 4 2 2 2" xfId="278"/>
    <cellStyle name="Normal 4 2 3" xfId="245"/>
    <cellStyle name="Normal 4 3" xfId="92"/>
    <cellStyle name="Normal 4 3 2" xfId="263"/>
    <cellStyle name="Normal 4 4" xfId="230"/>
    <cellStyle name="Normal 5" xfId="60"/>
    <cellStyle name="Normal 5 2" xfId="80"/>
    <cellStyle name="Normal 5 2 2" xfId="113"/>
    <cellStyle name="Normal 5 2 2 2" xfId="284"/>
    <cellStyle name="Normal 5 2 3" xfId="251"/>
    <cellStyle name="Normal 5 3" xfId="98"/>
    <cellStyle name="Normal 5 3 2" xfId="269"/>
    <cellStyle name="Normal 5 4" xfId="130"/>
    <cellStyle name="Normal 5 4 2" xfId="300"/>
    <cellStyle name="Normal 5 5" xfId="236"/>
    <cellStyle name="Normal 6" xfId="86"/>
    <cellStyle name="Normal 6 2" xfId="119"/>
    <cellStyle name="Normal 6 2 2" xfId="290"/>
    <cellStyle name="Normal 6 3" xfId="134"/>
    <cellStyle name="Normal 6 3 2" xfId="304"/>
    <cellStyle name="Normal 6 4" xfId="257"/>
    <cellStyle name="Normal 7" xfId="122"/>
    <cellStyle name="Normal 7 2" xfId="293"/>
    <cellStyle name="Normal 8" xfId="182"/>
    <cellStyle name="Normal 8 2" xfId="312"/>
    <cellStyle name="Normal 9" xfId="143"/>
    <cellStyle name="Note" xfId="40" builtinId="10" customBuiltin="1"/>
    <cellStyle name="Note 2" xfId="221"/>
    <cellStyle name="Note 3" xfId="156"/>
    <cellStyle name="Output" xfId="41" builtinId="21" customBuiltin="1"/>
    <cellStyle name="Output 2" xfId="222"/>
    <cellStyle name="Output 3" xfId="152"/>
    <cellStyle name="Percent" xfId="42" builtinId="5"/>
    <cellStyle name="Percent 10 2" xfId="43"/>
    <cellStyle name="Percent 10 2 2" xfId="68"/>
    <cellStyle name="Percent 2" xfId="50"/>
    <cellStyle name="Percent 2 2" xfId="70"/>
    <cellStyle name="Percent 2 2 2" xfId="85"/>
    <cellStyle name="Percent 2 2 2 2" xfId="118"/>
    <cellStyle name="Percent 2 2 2 2 2" xfId="289"/>
    <cellStyle name="Percent 2 2 2 3" xfId="256"/>
    <cellStyle name="Percent 2 2 3" xfId="103"/>
    <cellStyle name="Percent 2 2 3 2" xfId="274"/>
    <cellStyle name="Percent 2 2 4" xfId="241"/>
    <cellStyle name="Percent 2 3" xfId="73"/>
    <cellStyle name="Percent 2 3 2" xfId="106"/>
    <cellStyle name="Percent 2 3 2 2" xfId="277"/>
    <cellStyle name="Percent 2 3 3" xfId="244"/>
    <cellStyle name="Percent 2 4" xfId="91"/>
    <cellStyle name="Percent 2 4 2" xfId="262"/>
    <cellStyle name="Percent 2 5" xfId="229"/>
    <cellStyle name="Percent 3" xfId="61"/>
    <cellStyle name="Percent 3 2" xfId="81"/>
    <cellStyle name="Percent 3 2 2" xfId="114"/>
    <cellStyle name="Percent 3 2 2 2" xfId="285"/>
    <cellStyle name="Percent 3 2 3" xfId="252"/>
    <cellStyle name="Percent 3 3" xfId="99"/>
    <cellStyle name="Percent 3 3 2" xfId="270"/>
    <cellStyle name="Percent 3 4" xfId="133"/>
    <cellStyle name="Percent 3 4 2" xfId="303"/>
    <cellStyle name="Percent 3 5" xfId="237"/>
    <cellStyle name="Percent 4" xfId="88"/>
    <cellStyle name="Percent 4 2" xfId="121"/>
    <cellStyle name="Percent 4 2 2" xfId="292"/>
    <cellStyle name="Percent 4 3" xfId="259"/>
    <cellStyle name="Percent 5" xfId="124"/>
    <cellStyle name="Percent 5 2" xfId="295"/>
    <cellStyle name="Percent 6" xfId="223"/>
    <cellStyle name="Title" xfId="44" builtinId="15" customBuiltin="1"/>
    <cellStyle name="Title 2" xfId="224"/>
    <cellStyle name="Title 3" xfId="144"/>
    <cellStyle name="Total" xfId="45" builtinId="25" customBuiltin="1"/>
    <cellStyle name="Total 2" xfId="225"/>
    <cellStyle name="Total 3" xfId="158"/>
    <cellStyle name="Warning Text" xfId="46" builtinId="11" customBuiltin="1"/>
    <cellStyle name="Warning Text 2" xfId="226"/>
    <cellStyle name="Warning Text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153992483</c:v>
                </c:pt>
                <c:pt idx="1">
                  <c:v>67359647</c:v>
                </c:pt>
                <c:pt idx="2">
                  <c:v>60323221</c:v>
                </c:pt>
                <c:pt idx="3">
                  <c:v>42621097</c:v>
                </c:pt>
                <c:pt idx="4">
                  <c:v>38346834</c:v>
                </c:pt>
                <c:pt idx="5">
                  <c:v>33392196</c:v>
                </c:pt>
                <c:pt idx="6">
                  <c:v>85075134</c:v>
                </c:pt>
                <c:pt idx="7">
                  <c:v>867830253</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9645963.2000000086</c:v>
                </c:pt>
                <c:pt idx="1">
                  <c:v>41662674.379999995</c:v>
                </c:pt>
                <c:pt idx="2">
                  <c:v>41242377.059999995</c:v>
                </c:pt>
                <c:pt idx="3">
                  <c:v>28346868.859999999</c:v>
                </c:pt>
                <c:pt idx="4">
                  <c:v>25969372.260000002</c:v>
                </c:pt>
                <c:pt idx="5">
                  <c:v>81421303.189999998</c:v>
                </c:pt>
                <c:pt idx="6">
                  <c:v>102369484.76000001</c:v>
                </c:pt>
                <c:pt idx="7">
                  <c:v>658480918.98000002</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303148696"/>
        <c:axId val="303143600"/>
        <c:axId val="0"/>
      </c:bar3DChart>
      <c:catAx>
        <c:axId val="303148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143600"/>
        <c:crosses val="autoZero"/>
        <c:auto val="1"/>
        <c:lblAlgn val="ctr"/>
        <c:lblOffset val="100"/>
        <c:tickLblSkip val="1"/>
        <c:tickMarkSkip val="1"/>
        <c:noMultiLvlLbl val="0"/>
      </c:catAx>
      <c:valAx>
        <c:axId val="30314360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14869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87036922.420000002</c:v>
                </c:pt>
                <c:pt idx="1">
                  <c:v>313768002.95999998</c:v>
                </c:pt>
                <c:pt idx="2">
                  <c:v>907667713.66999996</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89728786</c:v>
                </c:pt>
                <c:pt idx="1">
                  <c:v>323472168</c:v>
                </c:pt>
                <c:pt idx="2">
                  <c:v>935739911</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303141248"/>
        <c:axId val="303141640"/>
        <c:axId val="0"/>
      </c:bar3DChart>
      <c:catAx>
        <c:axId val="3031412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141640"/>
        <c:crosses val="autoZero"/>
        <c:auto val="1"/>
        <c:lblAlgn val="ctr"/>
        <c:lblOffset val="100"/>
        <c:tickLblSkip val="1"/>
        <c:tickMarkSkip val="1"/>
        <c:noMultiLvlLbl val="0"/>
      </c:catAx>
      <c:valAx>
        <c:axId val="3031416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14124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56736770.289999999</c:v>
                </c:pt>
                <c:pt idx="1">
                  <c:v>16830241.239999998</c:v>
                </c:pt>
                <c:pt idx="2">
                  <c:v>0</c:v>
                </c:pt>
                <c:pt idx="3">
                  <c:v>0</c:v>
                </c:pt>
                <c:pt idx="4">
                  <c:v>0</c:v>
                </c:pt>
                <c:pt idx="5">
                  <c:v>0</c:v>
                </c:pt>
                <c:pt idx="6">
                  <c:v>80651537.549999997</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63699731.789999999</c:v>
                </c:pt>
                <c:pt idx="1">
                  <c:v>32368717.609999999</c:v>
                </c:pt>
                <c:pt idx="2">
                  <c:v>0</c:v>
                </c:pt>
                <c:pt idx="3">
                  <c:v>0</c:v>
                </c:pt>
                <c:pt idx="4">
                  <c:v>0</c:v>
                </c:pt>
                <c:pt idx="5">
                  <c:v>0</c:v>
                </c:pt>
                <c:pt idx="6">
                  <c:v>101926763.86999997</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303145168"/>
        <c:axId val="303148304"/>
        <c:axId val="0"/>
      </c:bar3DChart>
      <c:catAx>
        <c:axId val="3031451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148304"/>
        <c:crosses val="autoZero"/>
        <c:auto val="1"/>
        <c:lblAlgn val="ctr"/>
        <c:lblOffset val="100"/>
        <c:tickLblSkip val="2"/>
        <c:tickMarkSkip val="1"/>
        <c:noMultiLvlLbl val="0"/>
      </c:catAx>
      <c:valAx>
        <c:axId val="3031483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1451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85297669.120000005</c:v>
                </c:pt>
                <c:pt idx="1">
                  <c:v>45515291.767000005</c:v>
                </c:pt>
                <c:pt idx="2">
                  <c:v>63024484.609000005</c:v>
                </c:pt>
                <c:pt idx="3">
                  <c:v>63068303.311999992</c:v>
                </c:pt>
                <c:pt idx="4">
                  <c:v>124247725.67</c:v>
                </c:pt>
                <c:pt idx="5">
                  <c:v>131868000</c:v>
                </c:pt>
                <c:pt idx="6">
                  <c:v>131938000</c:v>
                </c:pt>
                <c:pt idx="7">
                  <c:v>131938000</c:v>
                </c:pt>
                <c:pt idx="8">
                  <c:v>199282000</c:v>
                </c:pt>
                <c:pt idx="9">
                  <c:v>226991000</c:v>
                </c:pt>
                <c:pt idx="10">
                  <c:v>278808000</c:v>
                </c:pt>
                <c:pt idx="11">
                  <c:v>348653637.52199984</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85297669.120000005</c:v>
                </c:pt>
                <c:pt idx="1">
                  <c:v>45515291.767000005</c:v>
                </c:pt>
                <c:pt idx="2">
                  <c:v>63024484.609000005</c:v>
                </c:pt>
                <c:pt idx="3">
                  <c:v>63068303.311999992</c:v>
                </c:pt>
                <c:pt idx="4">
                  <c:v>124247725.67</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303146344"/>
        <c:axId val="303147128"/>
        <c:axId val="0"/>
      </c:bar3DChart>
      <c:catAx>
        <c:axId val="30314634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3147128"/>
        <c:crosses val="autoZero"/>
        <c:auto val="1"/>
        <c:lblAlgn val="ctr"/>
        <c:lblOffset val="100"/>
        <c:tickLblSkip val="1"/>
        <c:tickMarkSkip val="1"/>
        <c:noMultiLvlLbl val="0"/>
      </c:catAx>
      <c:valAx>
        <c:axId val="30314712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314634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85297669.120000005</c:v>
                </c:pt>
                <c:pt idx="1">
                  <c:v>130812960.88700001</c:v>
                </c:pt>
                <c:pt idx="2">
                  <c:v>193837445.49600002</c:v>
                </c:pt>
                <c:pt idx="3">
                  <c:v>256905748.80800003</c:v>
                </c:pt>
                <c:pt idx="4">
                  <c:v>381153474.47800004</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85297669.120000005</c:v>
                </c:pt>
                <c:pt idx="1">
                  <c:v>130812960.88700001</c:v>
                </c:pt>
                <c:pt idx="2">
                  <c:v>193837445.49600002</c:v>
                </c:pt>
                <c:pt idx="3">
                  <c:v>256905748.80800003</c:v>
                </c:pt>
                <c:pt idx="4">
                  <c:v>381153474.47800004</c:v>
                </c:pt>
                <c:pt idx="5">
                  <c:v>513021474.47800004</c:v>
                </c:pt>
                <c:pt idx="6">
                  <c:v>644959474.47800004</c:v>
                </c:pt>
                <c:pt idx="7">
                  <c:v>776897474.47800004</c:v>
                </c:pt>
                <c:pt idx="8">
                  <c:v>976179474.47800004</c:v>
                </c:pt>
                <c:pt idx="9">
                  <c:v>1203170474.4780002</c:v>
                </c:pt>
                <c:pt idx="10">
                  <c:v>1481978474.4780002</c:v>
                </c:pt>
                <c:pt idx="11">
                  <c:v>1830632112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304260456"/>
        <c:axId val="304257712"/>
        <c:axId val="0"/>
      </c:bar3DChart>
      <c:catAx>
        <c:axId val="3042604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4257712"/>
        <c:crosses val="autoZero"/>
        <c:auto val="1"/>
        <c:lblAlgn val="ctr"/>
        <c:lblOffset val="100"/>
        <c:tickLblSkip val="1"/>
        <c:tickMarkSkip val="1"/>
        <c:noMultiLvlLbl val="0"/>
      </c:catAx>
      <c:valAx>
        <c:axId val="3042577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42604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5" val="3"/>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8930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144780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60960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137160</xdr:colOff>
          <xdr:row>37</xdr:row>
          <xdr:rowOff>121920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137160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137160</xdr:colOff>
          <xdr:row>45</xdr:row>
          <xdr:rowOff>7620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xdr:colOff>
      <xdr:row>49</xdr:row>
      <xdr:rowOff>91440</xdr:rowOff>
    </xdr:from>
    <xdr:to>
      <xdr:col>20</xdr:col>
      <xdr:colOff>373380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75</xdr:row>
      <xdr:rowOff>38100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556260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22860</xdr:colOff>
      <xdr:row>0</xdr:row>
      <xdr:rowOff>0</xdr:rowOff>
    </xdr:from>
    <xdr:to>
      <xdr:col>19</xdr:col>
      <xdr:colOff>600075</xdr:colOff>
      <xdr:row>24</xdr:row>
      <xdr:rowOff>127635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45720</xdr:colOff>
      <xdr:row>25</xdr:row>
      <xdr:rowOff>0</xdr:rowOff>
    </xdr:from>
    <xdr:to>
      <xdr:col>19</xdr:col>
      <xdr:colOff>609599</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0.0778</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70820" y="50076"/>
          <a:ext cx="6261018" cy="2623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9"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25" zoomScaleNormal="100" workbookViewId="0">
      <selection activeCell="R34" sqref="R34"/>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589</v>
      </c>
    </row>
    <row r="5" spans="4:25" x14ac:dyDescent="0.25">
      <c r="X5" s="689" t="s">
        <v>81</v>
      </c>
    </row>
    <row r="6" spans="4:25" x14ac:dyDescent="0.25">
      <c r="X6" s="689"/>
    </row>
    <row r="7" spans="4:25" x14ac:dyDescent="0.25">
      <c r="W7" s="655" t="s">
        <v>153</v>
      </c>
      <c r="X7" s="689" t="s">
        <v>187</v>
      </c>
    </row>
    <row r="8" spans="4:25" x14ac:dyDescent="0.25">
      <c r="X8" s="689" t="s">
        <v>154</v>
      </c>
    </row>
    <row r="9" spans="4:25" x14ac:dyDescent="0.25">
      <c r="X9" s="689"/>
    </row>
    <row r="10" spans="4:25" x14ac:dyDescent="0.25">
      <c r="W10" s="655" t="s">
        <v>890</v>
      </c>
      <c r="X10" s="692">
        <v>5</v>
      </c>
    </row>
    <row r="11" spans="4:25" x14ac:dyDescent="0.25">
      <c r="W11" s="655" t="s">
        <v>891</v>
      </c>
      <c r="X11" s="710" t="str">
        <f>VLOOKUP(X10,W39:X55,2)</f>
        <v>M05 November</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155</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156</v>
      </c>
      <c r="X34" s="689"/>
    </row>
    <row r="35" spans="22:25" x14ac:dyDescent="0.25">
      <c r="W35" s="655" t="s">
        <v>157</v>
      </c>
      <c r="X35" s="689">
        <v>12</v>
      </c>
    </row>
    <row r="36" spans="22:25" x14ac:dyDescent="0.25">
      <c r="X36" s="693">
        <f>INDEX(X19:X33,X35,1)</f>
        <v>2019</v>
      </c>
    </row>
    <row r="37" spans="22:25" x14ac:dyDescent="0.25">
      <c r="W37" s="655" t="s">
        <v>158</v>
      </c>
      <c r="X37" s="691"/>
    </row>
    <row r="38" spans="22:25" x14ac:dyDescent="0.25">
      <c r="X38" s="690" t="str">
        <f>MTREF&amp;"/"&amp;RIGHT(MTREF,2)+1</f>
        <v>2019/20</v>
      </c>
    </row>
    <row r="39" spans="22:25" x14ac:dyDescent="0.25">
      <c r="V39" s="655" t="s">
        <v>884</v>
      </c>
      <c r="W39" s="655">
        <v>1</v>
      </c>
      <c r="X39" s="655" t="s">
        <v>886</v>
      </c>
      <c r="Y39" s="911"/>
    </row>
    <row r="40" spans="22:25" x14ac:dyDescent="0.25">
      <c r="W40" s="655">
        <v>2</v>
      </c>
      <c r="X40" s="655" t="s">
        <v>887</v>
      </c>
      <c r="Y40" s="911"/>
    </row>
    <row r="41" spans="22:25" x14ac:dyDescent="0.25">
      <c r="W41" s="655">
        <v>3</v>
      </c>
      <c r="X41" s="655" t="s">
        <v>892</v>
      </c>
    </row>
    <row r="42" spans="22:25" x14ac:dyDescent="0.25">
      <c r="W42" s="655">
        <v>4</v>
      </c>
      <c r="X42" s="655" t="s">
        <v>893</v>
      </c>
    </row>
    <row r="43" spans="22:25" x14ac:dyDescent="0.25">
      <c r="W43" s="655">
        <v>5</v>
      </c>
      <c r="X43" s="655" t="s">
        <v>894</v>
      </c>
    </row>
    <row r="44" spans="22:25" x14ac:dyDescent="0.25">
      <c r="W44" s="655">
        <v>6</v>
      </c>
      <c r="X44" s="655" t="s">
        <v>895</v>
      </c>
    </row>
    <row r="45" spans="22:25" x14ac:dyDescent="0.25">
      <c r="W45" s="655">
        <v>7</v>
      </c>
      <c r="X45" s="655" t="s">
        <v>896</v>
      </c>
    </row>
    <row r="46" spans="22:25" x14ac:dyDescent="0.25">
      <c r="W46" s="655">
        <v>8</v>
      </c>
      <c r="X46" s="655" t="s">
        <v>897</v>
      </c>
    </row>
    <row r="47" spans="22:25" x14ac:dyDescent="0.25">
      <c r="W47" s="655">
        <v>9</v>
      </c>
      <c r="X47" s="655" t="s">
        <v>898</v>
      </c>
    </row>
    <row r="48" spans="22:25" x14ac:dyDescent="0.25">
      <c r="W48" s="655">
        <v>10</v>
      </c>
      <c r="X48" s="655" t="s">
        <v>899</v>
      </c>
    </row>
    <row r="49" spans="23:24" x14ac:dyDescent="0.25">
      <c r="W49" s="655">
        <v>11</v>
      </c>
      <c r="X49" s="655" t="s">
        <v>900</v>
      </c>
    </row>
    <row r="50" spans="23:24" x14ac:dyDescent="0.25">
      <c r="W50" s="655">
        <v>12</v>
      </c>
      <c r="X50" s="655" t="s">
        <v>901</v>
      </c>
    </row>
    <row r="51" spans="23:24" x14ac:dyDescent="0.25">
      <c r="W51" s="655">
        <v>13</v>
      </c>
      <c r="X51" s="655" t="s">
        <v>888</v>
      </c>
    </row>
    <row r="52" spans="23:24" x14ac:dyDescent="0.25">
      <c r="W52" s="655">
        <v>14</v>
      </c>
      <c r="X52" s="655" t="s">
        <v>889</v>
      </c>
    </row>
    <row r="53" spans="23:24" x14ac:dyDescent="0.25">
      <c r="W53" s="655">
        <v>15</v>
      </c>
      <c r="X53" s="655" t="s">
        <v>902</v>
      </c>
    </row>
    <row r="54" spans="23:24" x14ac:dyDescent="0.25">
      <c r="W54" s="655">
        <v>16</v>
      </c>
      <c r="X54" s="655" t="s">
        <v>903</v>
      </c>
    </row>
    <row r="55" spans="23:24" x14ac:dyDescent="0.25">
      <c r="W55" s="655">
        <v>17</v>
      </c>
      <c r="X55" s="655" t="s">
        <v>885</v>
      </c>
    </row>
  </sheetData>
  <sheetProtection sheet="1" objects="1" scenarios="1"/>
  <phoneticPr fontId="9"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92" t="s">
        <v>662</v>
      </c>
      <c r="B1" s="993"/>
      <c r="C1" s="993"/>
      <c r="D1" s="994"/>
    </row>
    <row r="2" spans="1:4" x14ac:dyDescent="0.2">
      <c r="A2" s="731" t="s">
        <v>932</v>
      </c>
      <c r="B2" s="732" t="str">
        <f>HLOOKUP(MTREF,Headings,2)</f>
        <v>2018/19</v>
      </c>
      <c r="C2" s="733" t="s">
        <v>42</v>
      </c>
      <c r="D2" s="734"/>
    </row>
    <row r="3" spans="1:4" x14ac:dyDescent="0.2">
      <c r="A3" s="735" t="s">
        <v>965</v>
      </c>
      <c r="B3" s="736" t="str">
        <f>HLOOKUP(MTREF,Headings,5)</f>
        <v>Budget Year 2019/20</v>
      </c>
      <c r="C3" s="736" t="s">
        <v>47</v>
      </c>
      <c r="D3" s="737"/>
    </row>
    <row r="4" spans="1:4" x14ac:dyDescent="0.2">
      <c r="A4" s="735" t="s">
        <v>704</v>
      </c>
      <c r="B4" s="736" t="str">
        <f>HLOOKUP(MTREF,Headings,4)</f>
        <v>2019/20</v>
      </c>
      <c r="C4" s="736" t="s">
        <v>48</v>
      </c>
      <c r="D4" s="737"/>
    </row>
    <row r="5" spans="1:4" x14ac:dyDescent="0.2">
      <c r="A5" s="735" t="s">
        <v>966</v>
      </c>
      <c r="B5" s="736" t="str">
        <f>HLOOKUP(MTREF,Headings,3)</f>
        <v>2019/20 Medium Term Revenue &amp; Expenditure Framework</v>
      </c>
      <c r="C5" s="736" t="s">
        <v>43</v>
      </c>
      <c r="D5" s="737"/>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5" t="s">
        <v>971</v>
      </c>
      <c r="B12" s="736" t="str">
        <f>HLOOKUP(MTREF,Headings,5)</f>
        <v>Budget Year 2019/20</v>
      </c>
      <c r="C12" s="736" t="s">
        <v>44</v>
      </c>
      <c r="D12" s="738" t="s">
        <v>720</v>
      </c>
    </row>
    <row r="13" spans="1:4" x14ac:dyDescent="0.2">
      <c r="A13" s="735" t="s">
        <v>972</v>
      </c>
      <c r="B13" s="736" t="str">
        <f>HLOOKUP(MTREF,Headings,6)</f>
        <v>Budget Year +1 2020/21</v>
      </c>
      <c r="C13" s="736" t="s">
        <v>45</v>
      </c>
      <c r="D13" s="738" t="s">
        <v>721</v>
      </c>
    </row>
    <row r="14" spans="1:4" x14ac:dyDescent="0.2">
      <c r="A14" s="735" t="s">
        <v>974</v>
      </c>
      <c r="B14" s="736" t="str">
        <f>HLOOKUP(MTREF,Headings,7)</f>
        <v>Budget Year +2 2021/22</v>
      </c>
      <c r="C14" s="736" t="s">
        <v>46</v>
      </c>
      <c r="D14" s="738"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M05 November</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9"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997" t="s">
        <v>773</v>
      </c>
      <c r="B72" s="998"/>
      <c r="C72" s="998"/>
      <c r="D72" s="999"/>
    </row>
    <row r="73" spans="1:6" x14ac:dyDescent="0.2">
      <c r="A73" s="740" t="s">
        <v>677</v>
      </c>
      <c r="B73" s="741" t="str">
        <f>'Lookup and lists'!B27</f>
        <v>LIM354 Polokwane</v>
      </c>
      <c r="C73" s="741"/>
      <c r="D73" s="6"/>
    </row>
    <row r="74" spans="1:6" x14ac:dyDescent="0.2">
      <c r="A74" s="740" t="s">
        <v>86</v>
      </c>
      <c r="B74" s="742">
        <v>1</v>
      </c>
      <c r="C74" s="741" t="s">
        <v>159</v>
      </c>
      <c r="D74" s="6">
        <v>3</v>
      </c>
    </row>
    <row r="75" spans="1:6" x14ac:dyDescent="0.2">
      <c r="A75" s="656" t="str">
        <f>IF((MuniEntities=1)*(MuniType=2),"YES","NO")</f>
        <v>NO</v>
      </c>
      <c r="B75" s="375" t="s">
        <v>644</v>
      </c>
      <c r="C75" s="598"/>
      <c r="D75" s="6"/>
    </row>
    <row r="76" spans="1:6" x14ac:dyDescent="0.2">
      <c r="A76" s="995" t="s">
        <v>816</v>
      </c>
      <c r="B76" s="996"/>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9"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3">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3.2" x14ac:dyDescent="0.25">
      <c r="B28" s="925" t="s">
        <v>190</v>
      </c>
      <c r="C28" s="1" t="s">
        <v>191</v>
      </c>
    </row>
    <row r="29" spans="1:3" ht="13.2" x14ac:dyDescent="0.25">
      <c r="B29" s="896" t="s">
        <v>1085</v>
      </c>
      <c r="C29" s="897" t="s">
        <v>1130</v>
      </c>
    </row>
    <row r="30" spans="1:3" ht="13.2" x14ac:dyDescent="0.25">
      <c r="B30" s="896" t="s">
        <v>1086</v>
      </c>
      <c r="C30" s="898" t="s">
        <v>1130</v>
      </c>
    </row>
    <row r="31" spans="1:3" ht="13.2" x14ac:dyDescent="0.25">
      <c r="B31" s="896" t="s">
        <v>1139</v>
      </c>
      <c r="C31" s="897" t="s">
        <v>1130</v>
      </c>
    </row>
    <row r="32" spans="1:3" ht="13.2" x14ac:dyDescent="0.25">
      <c r="B32" s="896" t="s">
        <v>227</v>
      </c>
      <c r="C32" s="897" t="s">
        <v>1130</v>
      </c>
    </row>
    <row r="33" spans="2:3" ht="13.2" x14ac:dyDescent="0.25">
      <c r="B33" s="896" t="s">
        <v>228</v>
      </c>
      <c r="C33" s="897" t="s">
        <v>1130</v>
      </c>
    </row>
    <row r="34" spans="2:3" ht="13.2" x14ac:dyDescent="0.25">
      <c r="B34" s="896" t="s">
        <v>229</v>
      </c>
      <c r="C34" s="897" t="s">
        <v>1130</v>
      </c>
    </row>
    <row r="35" spans="2:3" ht="13.2" x14ac:dyDescent="0.25">
      <c r="B35" s="896" t="s">
        <v>230</v>
      </c>
      <c r="C35" s="897" t="s">
        <v>1130</v>
      </c>
    </row>
    <row r="36" spans="2:3" ht="13.2" x14ac:dyDescent="0.25">
      <c r="B36" s="896" t="s">
        <v>231</v>
      </c>
      <c r="C36" s="898" t="s">
        <v>1130</v>
      </c>
    </row>
    <row r="37" spans="2:3" ht="13.2" x14ac:dyDescent="0.25">
      <c r="B37" s="896" t="s">
        <v>1006</v>
      </c>
      <c r="C37" s="897" t="s">
        <v>1130</v>
      </c>
    </row>
    <row r="38" spans="2:3" ht="13.2" x14ac:dyDescent="0.25">
      <c r="B38" s="896" t="s">
        <v>1121</v>
      </c>
      <c r="C38" s="899" t="s">
        <v>1130</v>
      </c>
    </row>
    <row r="39" spans="2:3" ht="13.2" x14ac:dyDescent="0.25">
      <c r="B39" s="896" t="s">
        <v>232</v>
      </c>
      <c r="C39" s="899" t="s">
        <v>1130</v>
      </c>
    </row>
    <row r="40" spans="2:3" ht="13.2" x14ac:dyDescent="0.25">
      <c r="B40" s="896" t="s">
        <v>233</v>
      </c>
      <c r="C40" s="900" t="s">
        <v>1130</v>
      </c>
    </row>
    <row r="41" spans="2:3" ht="13.2" x14ac:dyDescent="0.25">
      <c r="B41" s="896" t="s">
        <v>234</v>
      </c>
      <c r="C41" s="900" t="s">
        <v>1130</v>
      </c>
    </row>
    <row r="42" spans="2:3" ht="13.2" x14ac:dyDescent="0.25">
      <c r="B42" s="896" t="s">
        <v>235</v>
      </c>
      <c r="C42" s="900" t="s">
        <v>1130</v>
      </c>
    </row>
    <row r="43" spans="2:3" ht="13.2" x14ac:dyDescent="0.25">
      <c r="B43" s="896" t="s">
        <v>236</v>
      </c>
      <c r="C43" s="900" t="s">
        <v>1130</v>
      </c>
    </row>
    <row r="44" spans="2:3" ht="13.2" x14ac:dyDescent="0.25">
      <c r="B44" s="926" t="s">
        <v>1140</v>
      </c>
      <c r="C44" s="900" t="s">
        <v>1130</v>
      </c>
    </row>
    <row r="45" spans="2:3" ht="13.2" x14ac:dyDescent="0.25">
      <c r="B45" s="896" t="s">
        <v>193</v>
      </c>
      <c r="C45" s="900" t="s">
        <v>1130</v>
      </c>
    </row>
    <row r="46" spans="2:3" ht="13.2" x14ac:dyDescent="0.25">
      <c r="B46" s="896" t="s">
        <v>237</v>
      </c>
      <c r="C46" s="900" t="s">
        <v>1130</v>
      </c>
    </row>
    <row r="47" spans="2:3" ht="13.2" x14ac:dyDescent="0.25">
      <c r="B47" s="896" t="s">
        <v>238</v>
      </c>
      <c r="C47" s="900" t="s">
        <v>1130</v>
      </c>
    </row>
    <row r="48" spans="2:3" ht="13.2" x14ac:dyDescent="0.25">
      <c r="B48" s="896" t="s">
        <v>239</v>
      </c>
      <c r="C48" s="900" t="s">
        <v>1130</v>
      </c>
    </row>
    <row r="49" spans="2:3" ht="13.2" x14ac:dyDescent="0.25">
      <c r="B49" s="896" t="s">
        <v>240</v>
      </c>
      <c r="C49" s="900" t="s">
        <v>1130</v>
      </c>
    </row>
    <row r="50" spans="2:3" ht="13.2" x14ac:dyDescent="0.25">
      <c r="B50" s="896" t="s">
        <v>241</v>
      </c>
      <c r="C50" s="899" t="s">
        <v>1130</v>
      </c>
    </row>
    <row r="51" spans="2:3" ht="13.2" x14ac:dyDescent="0.25">
      <c r="B51" s="926" t="s">
        <v>1141</v>
      </c>
      <c r="C51" s="899" t="s">
        <v>1130</v>
      </c>
    </row>
    <row r="52" spans="2:3" ht="13.2" x14ac:dyDescent="0.25">
      <c r="B52" s="896" t="s">
        <v>194</v>
      </c>
      <c r="C52" s="899" t="s">
        <v>1130</v>
      </c>
    </row>
    <row r="53" spans="2:3" ht="13.2" x14ac:dyDescent="0.25">
      <c r="B53" s="896" t="s">
        <v>242</v>
      </c>
      <c r="C53" s="899" t="s">
        <v>1130</v>
      </c>
    </row>
    <row r="54" spans="2:3" ht="13.2" x14ac:dyDescent="0.25">
      <c r="B54" s="896" t="s">
        <v>243</v>
      </c>
      <c r="C54" s="899" t="s">
        <v>1130</v>
      </c>
    </row>
    <row r="55" spans="2:3" ht="13.2" x14ac:dyDescent="0.25">
      <c r="B55" s="926" t="s">
        <v>1142</v>
      </c>
      <c r="C55" s="899" t="s">
        <v>1130</v>
      </c>
    </row>
    <row r="56" spans="2:3" ht="13.2" x14ac:dyDescent="0.25">
      <c r="B56" s="896" t="s">
        <v>1004</v>
      </c>
      <c r="C56" s="899" t="s">
        <v>1130</v>
      </c>
    </row>
    <row r="57" spans="2:3" ht="13.2" x14ac:dyDescent="0.25">
      <c r="B57" s="896" t="s">
        <v>244</v>
      </c>
      <c r="C57" s="655" t="s">
        <v>1130</v>
      </c>
    </row>
    <row r="58" spans="2:3" ht="13.2" x14ac:dyDescent="0.25">
      <c r="B58" s="896" t="s">
        <v>245</v>
      </c>
      <c r="C58" s="655" t="s">
        <v>1130</v>
      </c>
    </row>
    <row r="59" spans="2:3" ht="13.2" x14ac:dyDescent="0.25">
      <c r="B59" s="896" t="s">
        <v>246</v>
      </c>
      <c r="C59" s="899" t="s">
        <v>1130</v>
      </c>
    </row>
    <row r="60" spans="2:3" ht="13.2" x14ac:dyDescent="0.25">
      <c r="B60" s="896" t="s">
        <v>247</v>
      </c>
      <c r="C60" s="899" t="s">
        <v>1130</v>
      </c>
    </row>
    <row r="61" spans="2:3" ht="13.2" x14ac:dyDescent="0.25">
      <c r="B61" s="896" t="s">
        <v>248</v>
      </c>
      <c r="C61" s="899" t="s">
        <v>1130</v>
      </c>
    </row>
    <row r="62" spans="2:3" ht="13.2" x14ac:dyDescent="0.25">
      <c r="B62" s="896" t="s">
        <v>195</v>
      </c>
      <c r="C62" s="899" t="s">
        <v>1130</v>
      </c>
    </row>
    <row r="63" spans="2:3" ht="13.2" x14ac:dyDescent="0.25">
      <c r="B63" s="896" t="s">
        <v>249</v>
      </c>
      <c r="C63" s="900" t="s">
        <v>1130</v>
      </c>
    </row>
    <row r="64" spans="2:3" ht="13.2" x14ac:dyDescent="0.25">
      <c r="B64" s="896" t="s">
        <v>250</v>
      </c>
      <c r="C64" s="899" t="s">
        <v>1130</v>
      </c>
    </row>
    <row r="65" spans="2:3" ht="13.2" x14ac:dyDescent="0.25">
      <c r="B65" s="896" t="s">
        <v>1080</v>
      </c>
      <c r="C65" s="899" t="s">
        <v>1130</v>
      </c>
    </row>
    <row r="66" spans="2:3" ht="13.2" x14ac:dyDescent="0.25">
      <c r="B66" s="896" t="s">
        <v>1081</v>
      </c>
      <c r="C66" s="899" t="s">
        <v>1130</v>
      </c>
    </row>
    <row r="67" spans="2:3" ht="13.2" x14ac:dyDescent="0.25">
      <c r="B67" s="896" t="s">
        <v>222</v>
      </c>
      <c r="C67" s="899" t="s">
        <v>1130</v>
      </c>
    </row>
    <row r="68" spans="2:3" ht="13.2" x14ac:dyDescent="0.25">
      <c r="B68" s="896" t="s">
        <v>1087</v>
      </c>
      <c r="C68" s="899" t="s">
        <v>1131</v>
      </c>
    </row>
    <row r="69" spans="2:3" ht="13.2" x14ac:dyDescent="0.25">
      <c r="B69" s="896" t="s">
        <v>251</v>
      </c>
      <c r="C69" s="899" t="s">
        <v>1131</v>
      </c>
    </row>
    <row r="70" spans="2:3" ht="13.2" x14ac:dyDescent="0.25">
      <c r="B70" s="896" t="s">
        <v>252</v>
      </c>
      <c r="C70" s="899" t="s">
        <v>1131</v>
      </c>
    </row>
    <row r="71" spans="2:3" ht="13.2" x14ac:dyDescent="0.25">
      <c r="B71" s="896" t="s">
        <v>253</v>
      </c>
      <c r="C71" s="899" t="s">
        <v>1131</v>
      </c>
    </row>
    <row r="72" spans="2:3" ht="13.2" x14ac:dyDescent="0.25">
      <c r="B72" s="896" t="s">
        <v>196</v>
      </c>
      <c r="C72" s="899" t="s">
        <v>1131</v>
      </c>
    </row>
    <row r="73" spans="2:3" ht="13.2" x14ac:dyDescent="0.25">
      <c r="B73" s="896" t="s">
        <v>254</v>
      </c>
      <c r="C73" s="899" t="s">
        <v>1131</v>
      </c>
    </row>
    <row r="74" spans="2:3" ht="13.2" x14ac:dyDescent="0.25">
      <c r="B74" s="896" t="s">
        <v>255</v>
      </c>
      <c r="C74" s="899" t="s">
        <v>1131</v>
      </c>
    </row>
    <row r="75" spans="2:3" ht="13.2" x14ac:dyDescent="0.25">
      <c r="B75" s="896" t="s">
        <v>256</v>
      </c>
      <c r="C75" s="899" t="s">
        <v>1131</v>
      </c>
    </row>
    <row r="76" spans="2:3" ht="13.2" x14ac:dyDescent="0.25">
      <c r="B76" s="896" t="s">
        <v>257</v>
      </c>
      <c r="C76" s="899" t="s">
        <v>1131</v>
      </c>
    </row>
    <row r="77" spans="2:3" ht="13.2" x14ac:dyDescent="0.25">
      <c r="B77" s="896" t="s">
        <v>258</v>
      </c>
      <c r="C77" s="899" t="s">
        <v>1131</v>
      </c>
    </row>
    <row r="78" spans="2:3" ht="13.2" x14ac:dyDescent="0.25">
      <c r="B78" s="896" t="s">
        <v>197</v>
      </c>
      <c r="C78" s="899" t="s">
        <v>1131</v>
      </c>
    </row>
    <row r="79" spans="2:3" ht="13.2" x14ac:dyDescent="0.25">
      <c r="B79" s="896" t="s">
        <v>259</v>
      </c>
      <c r="C79" s="899" t="s">
        <v>1131</v>
      </c>
    </row>
    <row r="80" spans="2:3" ht="13.2" x14ac:dyDescent="0.25">
      <c r="B80" s="896" t="s">
        <v>260</v>
      </c>
      <c r="C80" s="899" t="s">
        <v>1131</v>
      </c>
    </row>
    <row r="81" spans="2:3" ht="13.2" x14ac:dyDescent="0.25">
      <c r="B81" s="896" t="s">
        <v>261</v>
      </c>
      <c r="C81" s="899" t="s">
        <v>1131</v>
      </c>
    </row>
    <row r="82" spans="2:3" ht="13.2" x14ac:dyDescent="0.25">
      <c r="B82" s="896" t="s">
        <v>262</v>
      </c>
      <c r="C82" s="899" t="s">
        <v>1131</v>
      </c>
    </row>
    <row r="83" spans="2:3" ht="13.2" x14ac:dyDescent="0.25">
      <c r="B83" s="896" t="s">
        <v>263</v>
      </c>
      <c r="C83" s="899" t="s">
        <v>1131</v>
      </c>
    </row>
    <row r="84" spans="2:3" ht="13.2" x14ac:dyDescent="0.25">
      <c r="B84" s="896" t="s">
        <v>1082</v>
      </c>
      <c r="C84" s="899" t="s">
        <v>1131</v>
      </c>
    </row>
    <row r="85" spans="2:3" ht="13.2" x14ac:dyDescent="0.25">
      <c r="B85" s="896" t="s">
        <v>198</v>
      </c>
      <c r="C85" s="899" t="s">
        <v>1131</v>
      </c>
    </row>
    <row r="86" spans="2:3" ht="13.2" x14ac:dyDescent="0.25">
      <c r="B86" s="896" t="s">
        <v>264</v>
      </c>
      <c r="C86" s="899" t="s">
        <v>1131</v>
      </c>
    </row>
    <row r="87" spans="2:3" ht="13.2" x14ac:dyDescent="0.25">
      <c r="B87" s="896" t="s">
        <v>265</v>
      </c>
      <c r="C87" s="899" t="s">
        <v>1131</v>
      </c>
    </row>
    <row r="88" spans="2:3" ht="13.2" x14ac:dyDescent="0.25">
      <c r="B88" s="896" t="s">
        <v>266</v>
      </c>
      <c r="C88" s="899" t="s">
        <v>1131</v>
      </c>
    </row>
    <row r="89" spans="2:3" ht="13.2" x14ac:dyDescent="0.25">
      <c r="B89" s="896" t="s">
        <v>267</v>
      </c>
      <c r="C89" s="899" t="s">
        <v>1131</v>
      </c>
    </row>
    <row r="90" spans="2:3" ht="13.2" x14ac:dyDescent="0.25">
      <c r="B90" s="896" t="s">
        <v>199</v>
      </c>
      <c r="C90" s="899" t="s">
        <v>1131</v>
      </c>
    </row>
    <row r="91" spans="2:3" ht="13.2" x14ac:dyDescent="0.25">
      <c r="B91" s="896" t="s">
        <v>1088</v>
      </c>
      <c r="C91" s="899" t="s">
        <v>1132</v>
      </c>
    </row>
    <row r="92" spans="2:3" ht="13.2" x14ac:dyDescent="0.25">
      <c r="B92" s="896" t="s">
        <v>1089</v>
      </c>
      <c r="C92" s="899" t="s">
        <v>1132</v>
      </c>
    </row>
    <row r="93" spans="2:3" ht="13.2" x14ac:dyDescent="0.25">
      <c r="B93" s="896" t="s">
        <v>1090</v>
      </c>
      <c r="C93" s="899" t="s">
        <v>1132</v>
      </c>
    </row>
    <row r="94" spans="2:3" ht="13.2" x14ac:dyDescent="0.25">
      <c r="B94" s="896" t="s">
        <v>268</v>
      </c>
      <c r="C94" s="899" t="s">
        <v>1132</v>
      </c>
    </row>
    <row r="95" spans="2:3" ht="13.2" x14ac:dyDescent="0.25">
      <c r="B95" s="896" t="s">
        <v>269</v>
      </c>
      <c r="C95" s="899" t="s">
        <v>1132</v>
      </c>
    </row>
    <row r="96" spans="2:3" ht="13.2" x14ac:dyDescent="0.25">
      <c r="B96" s="896" t="s">
        <v>270</v>
      </c>
      <c r="C96" s="899" t="s">
        <v>1132</v>
      </c>
    </row>
    <row r="97" spans="2:3" ht="13.2" x14ac:dyDescent="0.25">
      <c r="B97" s="896" t="s">
        <v>221</v>
      </c>
      <c r="C97" s="899" t="s">
        <v>1132</v>
      </c>
    </row>
    <row r="98" spans="2:3" ht="13.2" x14ac:dyDescent="0.25">
      <c r="B98" s="896" t="s">
        <v>271</v>
      </c>
      <c r="C98" s="899" t="s">
        <v>1132</v>
      </c>
    </row>
    <row r="99" spans="2:3" ht="13.2" x14ac:dyDescent="0.25">
      <c r="B99" s="896" t="s">
        <v>1007</v>
      </c>
      <c r="C99" s="899" t="s">
        <v>1132</v>
      </c>
    </row>
    <row r="100" spans="2:3" ht="13.2" x14ac:dyDescent="0.25">
      <c r="B100" s="927" t="s">
        <v>1122</v>
      </c>
      <c r="C100" s="899" t="s">
        <v>1132</v>
      </c>
    </row>
    <row r="101" spans="2:3" ht="13.2" x14ac:dyDescent="0.25">
      <c r="B101" s="896" t="s">
        <v>223</v>
      </c>
      <c r="C101" s="899" t="s">
        <v>1132</v>
      </c>
    </row>
    <row r="102" spans="2:3" ht="13.2" x14ac:dyDescent="0.25">
      <c r="B102" s="896" t="s">
        <v>1091</v>
      </c>
      <c r="C102" s="899" t="s">
        <v>1133</v>
      </c>
    </row>
    <row r="103" spans="2:3" ht="13.2" x14ac:dyDescent="0.25">
      <c r="B103" s="896" t="s">
        <v>272</v>
      </c>
      <c r="C103" s="899" t="s">
        <v>1133</v>
      </c>
    </row>
    <row r="104" spans="2:3" ht="13.2" x14ac:dyDescent="0.25">
      <c r="B104" s="896" t="s">
        <v>273</v>
      </c>
      <c r="C104" s="899" t="s">
        <v>1133</v>
      </c>
    </row>
    <row r="105" spans="2:3" ht="13.2" x14ac:dyDescent="0.25">
      <c r="B105" s="896" t="s">
        <v>274</v>
      </c>
      <c r="C105" s="899" t="s">
        <v>1133</v>
      </c>
    </row>
    <row r="106" spans="2:3" ht="13.2" x14ac:dyDescent="0.25">
      <c r="B106" s="896" t="s">
        <v>1150</v>
      </c>
      <c r="C106" s="899" t="s">
        <v>1133</v>
      </c>
    </row>
    <row r="107" spans="2:3" ht="13.2" x14ac:dyDescent="0.25">
      <c r="B107" s="896" t="s">
        <v>200</v>
      </c>
      <c r="C107" s="899" t="s">
        <v>1133</v>
      </c>
    </row>
    <row r="108" spans="2:3" ht="13.2" x14ac:dyDescent="0.25">
      <c r="B108" s="896" t="s">
        <v>275</v>
      </c>
      <c r="C108" s="899" t="s">
        <v>1133</v>
      </c>
    </row>
    <row r="109" spans="2:3" ht="13.2" x14ac:dyDescent="0.25">
      <c r="B109" s="896" t="s">
        <v>276</v>
      </c>
      <c r="C109" s="899" t="s">
        <v>1133</v>
      </c>
    </row>
    <row r="110" spans="2:3" ht="13.2" x14ac:dyDescent="0.25">
      <c r="B110" s="896" t="s">
        <v>277</v>
      </c>
      <c r="C110" s="899" t="s">
        <v>1133</v>
      </c>
    </row>
    <row r="111" spans="2:3" ht="13.2" x14ac:dyDescent="0.25">
      <c r="B111" s="896" t="s">
        <v>278</v>
      </c>
      <c r="C111" s="899" t="s">
        <v>1133</v>
      </c>
    </row>
    <row r="112" spans="2:3" ht="13.2" x14ac:dyDescent="0.25">
      <c r="B112" s="896" t="s">
        <v>279</v>
      </c>
      <c r="C112" s="897" t="s">
        <v>1133</v>
      </c>
    </row>
    <row r="113" spans="2:3" ht="13.2" x14ac:dyDescent="0.25">
      <c r="B113" s="896" t="s">
        <v>280</v>
      </c>
      <c r="C113" s="897" t="s">
        <v>1133</v>
      </c>
    </row>
    <row r="114" spans="2:3" ht="13.2" x14ac:dyDescent="0.25">
      <c r="B114" s="896" t="s">
        <v>281</v>
      </c>
      <c r="C114" s="897" t="s">
        <v>1133</v>
      </c>
    </row>
    <row r="115" spans="2:3" ht="13.2" x14ac:dyDescent="0.25">
      <c r="B115" s="896" t="s">
        <v>201</v>
      </c>
      <c r="C115" s="897" t="s">
        <v>1133</v>
      </c>
    </row>
    <row r="116" spans="2:3" ht="13.2" x14ac:dyDescent="0.25">
      <c r="B116" s="896" t="s">
        <v>282</v>
      </c>
      <c r="C116" s="897" t="s">
        <v>1133</v>
      </c>
    </row>
    <row r="117" spans="2:3" ht="13.2" x14ac:dyDescent="0.25">
      <c r="B117" s="926" t="s">
        <v>1143</v>
      </c>
      <c r="C117" s="897" t="s">
        <v>1133</v>
      </c>
    </row>
    <row r="118" spans="2:3" ht="13.2" x14ac:dyDescent="0.25">
      <c r="B118" s="926" t="s">
        <v>1144</v>
      </c>
      <c r="C118" s="897" t="s">
        <v>1133</v>
      </c>
    </row>
    <row r="119" spans="2:3" ht="13.2" x14ac:dyDescent="0.25">
      <c r="B119" s="896" t="s">
        <v>202</v>
      </c>
      <c r="C119" s="897" t="s">
        <v>1133</v>
      </c>
    </row>
    <row r="120" spans="2:3" ht="13.2" x14ac:dyDescent="0.25">
      <c r="B120" s="896" t="s">
        <v>283</v>
      </c>
      <c r="C120" s="897" t="s">
        <v>1133</v>
      </c>
    </row>
    <row r="121" spans="2:3" ht="13.2" x14ac:dyDescent="0.25">
      <c r="B121" s="896" t="s">
        <v>284</v>
      </c>
      <c r="C121" s="897" t="s">
        <v>1133</v>
      </c>
    </row>
    <row r="122" spans="2:3" ht="13.2" x14ac:dyDescent="0.25">
      <c r="B122" s="896" t="s">
        <v>285</v>
      </c>
      <c r="C122" s="897" t="s">
        <v>1133</v>
      </c>
    </row>
    <row r="123" spans="2:3" ht="13.2" x14ac:dyDescent="0.25">
      <c r="B123" s="896" t="s">
        <v>287</v>
      </c>
      <c r="C123" s="897" t="s">
        <v>1133</v>
      </c>
    </row>
    <row r="124" spans="2:3" ht="13.2" x14ac:dyDescent="0.25">
      <c r="B124" s="896" t="s">
        <v>203</v>
      </c>
      <c r="C124" s="897" t="s">
        <v>1133</v>
      </c>
    </row>
    <row r="125" spans="2:3" ht="13.2" x14ac:dyDescent="0.25">
      <c r="B125" s="896" t="s">
        <v>288</v>
      </c>
      <c r="C125" s="897" t="s">
        <v>1133</v>
      </c>
    </row>
    <row r="126" spans="2:3" ht="13.2" x14ac:dyDescent="0.25">
      <c r="B126" s="896" t="s">
        <v>289</v>
      </c>
      <c r="C126" s="897" t="s">
        <v>1133</v>
      </c>
    </row>
    <row r="127" spans="2:3" ht="13.2" x14ac:dyDescent="0.25">
      <c r="B127" s="896" t="s">
        <v>290</v>
      </c>
      <c r="C127" s="897" t="s">
        <v>1133</v>
      </c>
    </row>
    <row r="128" spans="2:3" ht="13.2" x14ac:dyDescent="0.25">
      <c r="B128" s="896" t="s">
        <v>204</v>
      </c>
      <c r="C128" s="897" t="s">
        <v>1133</v>
      </c>
    </row>
    <row r="129" spans="2:3" ht="13.2" x14ac:dyDescent="0.25">
      <c r="B129" s="896" t="s">
        <v>291</v>
      </c>
      <c r="C129" s="897" t="s">
        <v>1133</v>
      </c>
    </row>
    <row r="130" spans="2:3" ht="13.2" x14ac:dyDescent="0.25">
      <c r="B130" s="896" t="s">
        <v>292</v>
      </c>
      <c r="C130" s="897" t="s">
        <v>1133</v>
      </c>
    </row>
    <row r="131" spans="2:3" ht="13.2" x14ac:dyDescent="0.25">
      <c r="B131" s="896" t="s">
        <v>293</v>
      </c>
      <c r="C131" s="897" t="s">
        <v>1133</v>
      </c>
    </row>
    <row r="132" spans="2:3" ht="13.2" x14ac:dyDescent="0.25">
      <c r="B132" s="896" t="s">
        <v>294</v>
      </c>
      <c r="C132" s="899" t="s">
        <v>1133</v>
      </c>
    </row>
    <row r="133" spans="2:3" ht="13.2" x14ac:dyDescent="0.25">
      <c r="B133" s="896" t="s">
        <v>295</v>
      </c>
      <c r="C133" s="899" t="s">
        <v>1133</v>
      </c>
    </row>
    <row r="134" spans="2:3" ht="13.2" x14ac:dyDescent="0.25">
      <c r="B134" s="896" t="s">
        <v>205</v>
      </c>
      <c r="C134" s="899" t="s">
        <v>1133</v>
      </c>
    </row>
    <row r="135" spans="2:3" ht="13.2" x14ac:dyDescent="0.25">
      <c r="B135" s="896" t="s">
        <v>296</v>
      </c>
      <c r="C135" s="899" t="s">
        <v>1133</v>
      </c>
    </row>
    <row r="136" spans="2:3" ht="13.2" x14ac:dyDescent="0.25">
      <c r="B136" s="896" t="s">
        <v>297</v>
      </c>
      <c r="C136" s="899" t="s">
        <v>1133</v>
      </c>
    </row>
    <row r="137" spans="2:3" ht="13.2" x14ac:dyDescent="0.25">
      <c r="B137" s="896" t="s">
        <v>298</v>
      </c>
      <c r="C137" s="899" t="s">
        <v>1133</v>
      </c>
    </row>
    <row r="138" spans="2:3" ht="13.2" x14ac:dyDescent="0.25">
      <c r="B138" s="926" t="s">
        <v>1145</v>
      </c>
      <c r="C138" s="899" t="s">
        <v>1133</v>
      </c>
    </row>
    <row r="139" spans="2:3" ht="13.2" x14ac:dyDescent="0.25">
      <c r="B139" s="896" t="s">
        <v>206</v>
      </c>
      <c r="C139" s="899" t="s">
        <v>1133</v>
      </c>
    </row>
    <row r="140" spans="2:3" ht="13.2" x14ac:dyDescent="0.25">
      <c r="B140" s="896" t="s">
        <v>1008</v>
      </c>
      <c r="C140" s="899" t="s">
        <v>1133</v>
      </c>
    </row>
    <row r="141" spans="2:3" ht="13.2" x14ac:dyDescent="0.25">
      <c r="B141" s="896" t="s">
        <v>299</v>
      </c>
      <c r="C141" s="899" t="s">
        <v>1133</v>
      </c>
    </row>
    <row r="142" spans="2:3" ht="13.2" x14ac:dyDescent="0.25">
      <c r="B142" s="896" t="s">
        <v>1009</v>
      </c>
      <c r="C142" s="900" t="s">
        <v>1133</v>
      </c>
    </row>
    <row r="143" spans="2:3" ht="13.2" x14ac:dyDescent="0.25">
      <c r="B143" s="896" t="s">
        <v>300</v>
      </c>
      <c r="C143" s="900" t="s">
        <v>1133</v>
      </c>
    </row>
    <row r="144" spans="2:3" ht="13.2" x14ac:dyDescent="0.25">
      <c r="B144" s="896" t="s">
        <v>301</v>
      </c>
      <c r="C144" s="900" t="s">
        <v>1133</v>
      </c>
    </row>
    <row r="145" spans="2:3" ht="13.2" x14ac:dyDescent="0.25">
      <c r="B145" s="896" t="s">
        <v>1146</v>
      </c>
      <c r="C145" s="900" t="s">
        <v>1133</v>
      </c>
    </row>
    <row r="146" spans="2:3" ht="13.2" x14ac:dyDescent="0.25">
      <c r="B146" s="896" t="s">
        <v>302</v>
      </c>
      <c r="C146" s="900" t="s">
        <v>1133</v>
      </c>
    </row>
    <row r="147" spans="2:3" ht="13.2" x14ac:dyDescent="0.25">
      <c r="B147" s="896" t="s">
        <v>303</v>
      </c>
      <c r="C147" s="900" t="s">
        <v>1133</v>
      </c>
    </row>
    <row r="148" spans="2:3" ht="13.2" x14ac:dyDescent="0.25">
      <c r="B148" s="896" t="s">
        <v>304</v>
      </c>
      <c r="C148" s="900" t="s">
        <v>1133</v>
      </c>
    </row>
    <row r="149" spans="2:3" ht="13.2" x14ac:dyDescent="0.25">
      <c r="B149" s="896" t="s">
        <v>305</v>
      </c>
      <c r="C149" s="900" t="s">
        <v>1133</v>
      </c>
    </row>
    <row r="150" spans="2:3" ht="13.2" x14ac:dyDescent="0.25">
      <c r="B150" s="896" t="s">
        <v>207</v>
      </c>
      <c r="C150" s="900" t="s">
        <v>1133</v>
      </c>
    </row>
    <row r="151" spans="2:3" ht="13.2" x14ac:dyDescent="0.25">
      <c r="B151" s="896" t="s">
        <v>306</v>
      </c>
      <c r="C151" s="900" t="s">
        <v>1133</v>
      </c>
    </row>
    <row r="152" spans="2:3" ht="13.2" x14ac:dyDescent="0.25">
      <c r="B152" s="896" t="s">
        <v>307</v>
      </c>
      <c r="C152" s="900" t="s">
        <v>1133</v>
      </c>
    </row>
    <row r="153" spans="2:3" ht="13.2" x14ac:dyDescent="0.25">
      <c r="B153" s="896" t="s">
        <v>308</v>
      </c>
      <c r="C153" s="900" t="s">
        <v>1133</v>
      </c>
    </row>
    <row r="154" spans="2:3" ht="13.2" x14ac:dyDescent="0.25">
      <c r="B154" s="926" t="s">
        <v>1147</v>
      </c>
      <c r="C154" s="900" t="s">
        <v>1133</v>
      </c>
    </row>
    <row r="155" spans="2:3" ht="13.2" x14ac:dyDescent="0.25">
      <c r="B155" s="896" t="s">
        <v>1123</v>
      </c>
      <c r="C155" s="900" t="s">
        <v>1133</v>
      </c>
    </row>
    <row r="156" spans="2:3" ht="13.2" x14ac:dyDescent="0.25">
      <c r="B156" s="896" t="s">
        <v>309</v>
      </c>
      <c r="C156" s="900" t="s">
        <v>1134</v>
      </c>
    </row>
    <row r="157" spans="2:3" ht="13.2" x14ac:dyDescent="0.25">
      <c r="B157" s="896" t="s">
        <v>310</v>
      </c>
      <c r="C157" s="900" t="s">
        <v>1134</v>
      </c>
    </row>
    <row r="158" spans="2:3" ht="13.2" x14ac:dyDescent="0.25">
      <c r="B158" s="896" t="s">
        <v>311</v>
      </c>
      <c r="C158" s="900" t="s">
        <v>1134</v>
      </c>
    </row>
    <row r="159" spans="2:3" ht="13.2" x14ac:dyDescent="0.25">
      <c r="B159" s="896" t="s">
        <v>312</v>
      </c>
      <c r="C159" s="900" t="s">
        <v>1134</v>
      </c>
    </row>
    <row r="160" spans="2:3" ht="13.2" x14ac:dyDescent="0.25">
      <c r="B160" s="896" t="s">
        <v>313</v>
      </c>
      <c r="C160" s="900" t="s">
        <v>1134</v>
      </c>
    </row>
    <row r="161" spans="2:3" ht="13.2" x14ac:dyDescent="0.25">
      <c r="B161" s="896" t="s">
        <v>212</v>
      </c>
      <c r="C161" s="900" t="s">
        <v>1134</v>
      </c>
    </row>
    <row r="162" spans="2:3" ht="13.2" x14ac:dyDescent="0.25">
      <c r="B162" s="896" t="s">
        <v>314</v>
      </c>
      <c r="C162" s="900" t="s">
        <v>1134</v>
      </c>
    </row>
    <row r="163" spans="2:3" ht="13.2" x14ac:dyDescent="0.25">
      <c r="B163" s="896" t="s">
        <v>315</v>
      </c>
      <c r="C163" s="900" t="s">
        <v>1134</v>
      </c>
    </row>
    <row r="164" spans="2:3" ht="13.2" x14ac:dyDescent="0.25">
      <c r="B164" s="896" t="s">
        <v>316</v>
      </c>
      <c r="C164" s="900" t="s">
        <v>1134</v>
      </c>
    </row>
    <row r="165" spans="2:3" ht="13.2" x14ac:dyDescent="0.25">
      <c r="B165" s="927" t="s">
        <v>1124</v>
      </c>
      <c r="C165" s="900" t="s">
        <v>1134</v>
      </c>
    </row>
    <row r="166" spans="2:3" ht="13.2" x14ac:dyDescent="0.25">
      <c r="B166" s="896" t="s">
        <v>213</v>
      </c>
      <c r="C166" s="900" t="s">
        <v>1134</v>
      </c>
    </row>
    <row r="167" spans="2:3" ht="13.2" x14ac:dyDescent="0.25">
      <c r="B167" s="896" t="s">
        <v>317</v>
      </c>
      <c r="C167" s="900" t="s">
        <v>1134</v>
      </c>
    </row>
    <row r="168" spans="2:3" ht="13.2" x14ac:dyDescent="0.25">
      <c r="B168" s="896" t="s">
        <v>318</v>
      </c>
      <c r="C168" s="900" t="s">
        <v>1134</v>
      </c>
    </row>
    <row r="169" spans="2:3" ht="13.2" x14ac:dyDescent="0.25">
      <c r="B169" s="896" t="s">
        <v>319</v>
      </c>
      <c r="C169" s="900" t="s">
        <v>1134</v>
      </c>
    </row>
    <row r="170" spans="2:3" ht="13.2" x14ac:dyDescent="0.25">
      <c r="B170" s="896" t="s">
        <v>320</v>
      </c>
      <c r="C170" s="900" t="s">
        <v>1134</v>
      </c>
    </row>
    <row r="171" spans="2:3" ht="13.2" x14ac:dyDescent="0.25">
      <c r="B171" s="896" t="s">
        <v>214</v>
      </c>
      <c r="C171" s="900" t="s">
        <v>1134</v>
      </c>
    </row>
    <row r="172" spans="2:3" ht="13.2" x14ac:dyDescent="0.25">
      <c r="B172" s="896" t="s">
        <v>321</v>
      </c>
      <c r="C172" s="900" t="s">
        <v>1134</v>
      </c>
    </row>
    <row r="173" spans="2:3" ht="13.2" x14ac:dyDescent="0.25">
      <c r="B173" s="896" t="s">
        <v>322</v>
      </c>
      <c r="C173" s="900" t="s">
        <v>1134</v>
      </c>
    </row>
    <row r="174" spans="2:3" ht="13.2" x14ac:dyDescent="0.25">
      <c r="B174" s="896" t="s">
        <v>323</v>
      </c>
      <c r="C174" s="900" t="s">
        <v>1134</v>
      </c>
    </row>
    <row r="175" spans="2:3" ht="13.2" x14ac:dyDescent="0.25">
      <c r="B175" s="896" t="s">
        <v>324</v>
      </c>
      <c r="C175" s="900" t="s">
        <v>1134</v>
      </c>
    </row>
    <row r="176" spans="2:3" ht="13.2" x14ac:dyDescent="0.25">
      <c r="B176" s="927" t="s">
        <v>1125</v>
      </c>
      <c r="C176" s="900" t="s">
        <v>1134</v>
      </c>
    </row>
    <row r="177" spans="2:3" ht="13.2" x14ac:dyDescent="0.25">
      <c r="B177" s="896" t="s">
        <v>215</v>
      </c>
      <c r="C177" s="900" t="s">
        <v>1134</v>
      </c>
    </row>
    <row r="178" spans="2:3" ht="13.2" x14ac:dyDescent="0.25">
      <c r="B178" s="896" t="s">
        <v>1010</v>
      </c>
      <c r="C178" s="900" t="s">
        <v>1134</v>
      </c>
    </row>
    <row r="179" spans="2:3" ht="13.2" x14ac:dyDescent="0.25">
      <c r="B179" s="896" t="s">
        <v>325</v>
      </c>
      <c r="C179" s="900" t="s">
        <v>1134</v>
      </c>
    </row>
    <row r="180" spans="2:3" ht="13.2" x14ac:dyDescent="0.25">
      <c r="B180" s="896" t="s">
        <v>1011</v>
      </c>
      <c r="C180" s="900" t="s">
        <v>1134</v>
      </c>
    </row>
    <row r="181" spans="2:3" ht="13.2" x14ac:dyDescent="0.25">
      <c r="B181" s="927" t="s">
        <v>1126</v>
      </c>
      <c r="C181" s="900" t="s">
        <v>1134</v>
      </c>
    </row>
    <row r="182" spans="2:3" ht="13.2" x14ac:dyDescent="0.25">
      <c r="B182" s="896" t="s">
        <v>1078</v>
      </c>
      <c r="C182" s="900" t="s">
        <v>1134</v>
      </c>
    </row>
    <row r="183" spans="2:3" ht="13.2" x14ac:dyDescent="0.25">
      <c r="B183" s="896" t="s">
        <v>326</v>
      </c>
      <c r="C183" s="900" t="s">
        <v>1135</v>
      </c>
    </row>
    <row r="184" spans="2:3" ht="13.2" x14ac:dyDescent="0.25">
      <c r="B184" s="896" t="s">
        <v>327</v>
      </c>
      <c r="C184" s="900" t="s">
        <v>1135</v>
      </c>
    </row>
    <row r="185" spans="2:3" ht="13.2" x14ac:dyDescent="0.25">
      <c r="B185" s="896" t="s">
        <v>328</v>
      </c>
      <c r="C185" s="900" t="s">
        <v>1135</v>
      </c>
    </row>
    <row r="186" spans="2:3" ht="13.2" x14ac:dyDescent="0.25">
      <c r="B186" s="896" t="s">
        <v>1012</v>
      </c>
      <c r="C186" s="900" t="s">
        <v>1135</v>
      </c>
    </row>
    <row r="187" spans="2:3" ht="13.2" x14ac:dyDescent="0.25">
      <c r="B187" s="896" t="s">
        <v>329</v>
      </c>
      <c r="C187" s="900" t="s">
        <v>1135</v>
      </c>
    </row>
    <row r="188" spans="2:3" ht="13.2" x14ac:dyDescent="0.25">
      <c r="B188" s="896" t="s">
        <v>330</v>
      </c>
      <c r="C188" s="900" t="s">
        <v>1135</v>
      </c>
    </row>
    <row r="189" spans="2:3" ht="13.2" x14ac:dyDescent="0.25">
      <c r="B189" s="896" t="s">
        <v>331</v>
      </c>
      <c r="C189" s="900" t="s">
        <v>1135</v>
      </c>
    </row>
    <row r="190" spans="2:3" ht="13.2" x14ac:dyDescent="0.25">
      <c r="B190" s="896" t="s">
        <v>209</v>
      </c>
      <c r="C190" s="900" t="s">
        <v>1135</v>
      </c>
    </row>
    <row r="191" spans="2:3" ht="13.2" x14ac:dyDescent="0.25">
      <c r="B191" s="896" t="s">
        <v>1013</v>
      </c>
      <c r="C191" s="900" t="s">
        <v>1135</v>
      </c>
    </row>
    <row r="192" spans="2:3" ht="13.2" x14ac:dyDescent="0.25">
      <c r="B192" s="896" t="s">
        <v>1083</v>
      </c>
      <c r="C192" s="900" t="s">
        <v>1135</v>
      </c>
    </row>
    <row r="193" spans="2:3" ht="13.2" x14ac:dyDescent="0.25">
      <c r="B193" s="896" t="s">
        <v>332</v>
      </c>
      <c r="C193" s="899" t="s">
        <v>1135</v>
      </c>
    </row>
    <row r="194" spans="2:3" ht="13.2" x14ac:dyDescent="0.25">
      <c r="B194" s="896" t="s">
        <v>333</v>
      </c>
      <c r="C194" s="899" t="s">
        <v>1135</v>
      </c>
    </row>
    <row r="195" spans="2:3" ht="13.2" x14ac:dyDescent="0.25">
      <c r="B195" s="896" t="s">
        <v>1084</v>
      </c>
      <c r="C195" s="899" t="s">
        <v>1135</v>
      </c>
    </row>
    <row r="196" spans="2:3" ht="13.2" x14ac:dyDescent="0.25">
      <c r="B196" s="896" t="s">
        <v>334</v>
      </c>
      <c r="C196" s="899" t="s">
        <v>1135</v>
      </c>
    </row>
    <row r="197" spans="2:3" ht="13.2" x14ac:dyDescent="0.25">
      <c r="B197" s="896" t="s">
        <v>210</v>
      </c>
      <c r="C197" s="899" t="s">
        <v>1135</v>
      </c>
    </row>
    <row r="198" spans="2:3" ht="13.2" x14ac:dyDescent="0.25">
      <c r="B198" s="896" t="s">
        <v>335</v>
      </c>
      <c r="C198" s="899" t="s">
        <v>1135</v>
      </c>
    </row>
    <row r="199" spans="2:3" ht="13.2" x14ac:dyDescent="0.25">
      <c r="B199" s="896" t="s">
        <v>336</v>
      </c>
      <c r="C199" s="899" t="s">
        <v>1135</v>
      </c>
    </row>
    <row r="200" spans="2:3" ht="13.2" x14ac:dyDescent="0.25">
      <c r="B200" s="896" t="s">
        <v>337</v>
      </c>
      <c r="C200" s="899" t="s">
        <v>1135</v>
      </c>
    </row>
    <row r="201" spans="2:3" ht="13.2" x14ac:dyDescent="0.25">
      <c r="B201" s="926" t="s">
        <v>1148</v>
      </c>
      <c r="C201" s="899" t="s">
        <v>1135</v>
      </c>
    </row>
    <row r="202" spans="2:3" ht="13.2" x14ac:dyDescent="0.25">
      <c r="B202" s="896" t="s">
        <v>211</v>
      </c>
      <c r="C202" s="899" t="s">
        <v>1135</v>
      </c>
    </row>
    <row r="203" spans="2:3" ht="13.2" x14ac:dyDescent="0.25">
      <c r="B203" s="896" t="s">
        <v>1014</v>
      </c>
      <c r="C203" s="899" t="s">
        <v>1136</v>
      </c>
    </row>
    <row r="204" spans="2:3" ht="13.2" x14ac:dyDescent="0.25">
      <c r="B204" s="896" t="s">
        <v>394</v>
      </c>
      <c r="C204" s="899" t="s">
        <v>1136</v>
      </c>
    </row>
    <row r="205" spans="2:3" ht="13.2" x14ac:dyDescent="0.25">
      <c r="B205" s="896" t="s">
        <v>395</v>
      </c>
      <c r="C205" s="899" t="s">
        <v>1136</v>
      </c>
    </row>
    <row r="206" spans="2:3" ht="13.2" x14ac:dyDescent="0.25">
      <c r="B206" s="896" t="s">
        <v>1005</v>
      </c>
      <c r="C206" s="899" t="s">
        <v>1136</v>
      </c>
    </row>
    <row r="207" spans="2:3" ht="13.2" x14ac:dyDescent="0.25">
      <c r="B207" s="896" t="s">
        <v>338</v>
      </c>
      <c r="C207" s="899" t="s">
        <v>1136</v>
      </c>
    </row>
    <row r="208" spans="2:3" ht="13.2" x14ac:dyDescent="0.25">
      <c r="B208" s="896" t="s">
        <v>339</v>
      </c>
      <c r="C208" s="899" t="s">
        <v>1136</v>
      </c>
    </row>
    <row r="209" spans="2:3" ht="13.2" x14ac:dyDescent="0.25">
      <c r="B209" s="896" t="s">
        <v>340</v>
      </c>
      <c r="C209" s="899" t="s">
        <v>1136</v>
      </c>
    </row>
    <row r="210" spans="2:3" ht="13.2" x14ac:dyDescent="0.25">
      <c r="B210" s="896" t="s">
        <v>341</v>
      </c>
      <c r="C210" s="899" t="s">
        <v>1136</v>
      </c>
    </row>
    <row r="211" spans="2:3" ht="13.2" x14ac:dyDescent="0.25">
      <c r="B211" s="896" t="s">
        <v>342</v>
      </c>
      <c r="C211" s="899" t="s">
        <v>1136</v>
      </c>
    </row>
    <row r="212" spans="2:3" ht="13.2" x14ac:dyDescent="0.25">
      <c r="B212" s="896" t="s">
        <v>343</v>
      </c>
      <c r="C212" s="899" t="s">
        <v>1136</v>
      </c>
    </row>
    <row r="213" spans="2:3" ht="13.2" x14ac:dyDescent="0.25">
      <c r="B213" s="896" t="s">
        <v>225</v>
      </c>
      <c r="C213" s="899" t="s">
        <v>1136</v>
      </c>
    </row>
    <row r="214" spans="2:3" ht="13.2" x14ac:dyDescent="0.25">
      <c r="B214" s="896" t="s">
        <v>344</v>
      </c>
      <c r="C214" s="899" t="s">
        <v>1136</v>
      </c>
    </row>
    <row r="215" spans="2:3" ht="13.2" x14ac:dyDescent="0.25">
      <c r="B215" s="896" t="s">
        <v>345</v>
      </c>
      <c r="C215" s="899" t="s">
        <v>1136</v>
      </c>
    </row>
    <row r="216" spans="2:3" ht="13.2" x14ac:dyDescent="0.25">
      <c r="B216" s="896" t="s">
        <v>346</v>
      </c>
      <c r="C216" s="899" t="s">
        <v>1136</v>
      </c>
    </row>
    <row r="217" spans="2:3" ht="13.2" x14ac:dyDescent="0.25">
      <c r="B217" s="896" t="s">
        <v>381</v>
      </c>
      <c r="C217" s="899" t="s">
        <v>1136</v>
      </c>
    </row>
    <row r="218" spans="2:3" ht="13.2" x14ac:dyDescent="0.25">
      <c r="B218" s="896" t="s">
        <v>382</v>
      </c>
      <c r="C218" s="899" t="s">
        <v>1136</v>
      </c>
    </row>
    <row r="219" spans="2:3" ht="13.2" x14ac:dyDescent="0.25">
      <c r="B219" s="896" t="s">
        <v>383</v>
      </c>
      <c r="C219" s="899" t="s">
        <v>1136</v>
      </c>
    </row>
    <row r="220" spans="2:3" ht="13.2" x14ac:dyDescent="0.25">
      <c r="B220" s="896" t="s">
        <v>384</v>
      </c>
      <c r="C220" s="899" t="s">
        <v>1136</v>
      </c>
    </row>
    <row r="221" spans="2:3" ht="13.2" x14ac:dyDescent="0.25">
      <c r="B221" s="896" t="s">
        <v>385</v>
      </c>
      <c r="C221" s="899" t="s">
        <v>1136</v>
      </c>
    </row>
    <row r="222" spans="2:3" ht="13.2" x14ac:dyDescent="0.25">
      <c r="B222" s="896" t="s">
        <v>1079</v>
      </c>
      <c r="C222" s="899" t="s">
        <v>1136</v>
      </c>
    </row>
    <row r="223" spans="2:3" ht="13.2" x14ac:dyDescent="0.25">
      <c r="B223" s="896" t="s">
        <v>386</v>
      </c>
      <c r="C223" s="899" t="s">
        <v>1136</v>
      </c>
    </row>
    <row r="224" spans="2:3" ht="13.2" x14ac:dyDescent="0.25">
      <c r="B224" s="896" t="s">
        <v>387</v>
      </c>
      <c r="C224" s="899" t="s">
        <v>1136</v>
      </c>
    </row>
    <row r="225" spans="2:3" ht="13.2" x14ac:dyDescent="0.25">
      <c r="B225" s="896" t="s">
        <v>388</v>
      </c>
      <c r="C225" s="899" t="s">
        <v>1136</v>
      </c>
    </row>
    <row r="226" spans="2:3" ht="13.2" x14ac:dyDescent="0.25">
      <c r="B226" s="896" t="s">
        <v>389</v>
      </c>
      <c r="C226" s="899" t="s">
        <v>1136</v>
      </c>
    </row>
    <row r="227" spans="2:3" ht="13.2" x14ac:dyDescent="0.25">
      <c r="B227" s="926" t="s">
        <v>1149</v>
      </c>
      <c r="C227" s="899" t="s">
        <v>1136</v>
      </c>
    </row>
    <row r="228" spans="2:3" ht="13.2" x14ac:dyDescent="0.25">
      <c r="B228" s="896" t="s">
        <v>1127</v>
      </c>
      <c r="C228" s="899" t="s">
        <v>1136</v>
      </c>
    </row>
    <row r="229" spans="2:3" ht="13.2" x14ac:dyDescent="0.25">
      <c r="B229" s="896" t="s">
        <v>390</v>
      </c>
      <c r="C229" s="899" t="s">
        <v>1136</v>
      </c>
    </row>
    <row r="230" spans="2:3" ht="13.2" x14ac:dyDescent="0.25">
      <c r="B230" s="896" t="s">
        <v>391</v>
      </c>
      <c r="C230" s="899" t="s">
        <v>1136</v>
      </c>
    </row>
    <row r="231" spans="2:3" ht="13.2" x14ac:dyDescent="0.25">
      <c r="B231" s="896" t="s">
        <v>392</v>
      </c>
      <c r="C231" s="899" t="s">
        <v>1136</v>
      </c>
    </row>
    <row r="232" spans="2:3" ht="13.2" x14ac:dyDescent="0.25">
      <c r="B232" s="896" t="s">
        <v>393</v>
      </c>
      <c r="C232" s="899" t="s">
        <v>1136</v>
      </c>
    </row>
    <row r="233" spans="2:3" ht="13.2" x14ac:dyDescent="0.25">
      <c r="B233" s="896" t="s">
        <v>226</v>
      </c>
      <c r="C233" s="899" t="s">
        <v>1136</v>
      </c>
    </row>
    <row r="234" spans="2:3" ht="13.2" x14ac:dyDescent="0.25">
      <c r="B234" s="896" t="s">
        <v>396</v>
      </c>
      <c r="C234" s="899" t="s">
        <v>1137</v>
      </c>
    </row>
    <row r="235" spans="2:3" ht="13.2" x14ac:dyDescent="0.25">
      <c r="B235" s="896" t="s">
        <v>397</v>
      </c>
      <c r="C235" s="899" t="s">
        <v>1137</v>
      </c>
    </row>
    <row r="236" spans="2:3" ht="13.2" x14ac:dyDescent="0.25">
      <c r="B236" s="896" t="s">
        <v>398</v>
      </c>
      <c r="C236" s="899" t="s">
        <v>1137</v>
      </c>
    </row>
    <row r="237" spans="2:3" ht="13.2" x14ac:dyDescent="0.25">
      <c r="B237" s="896" t="s">
        <v>399</v>
      </c>
      <c r="C237" s="899" t="s">
        <v>1137</v>
      </c>
    </row>
    <row r="238" spans="2:3" ht="13.2" x14ac:dyDescent="0.25">
      <c r="B238" s="896" t="s">
        <v>400</v>
      </c>
      <c r="C238" s="899" t="s">
        <v>1137</v>
      </c>
    </row>
    <row r="239" spans="2:3" ht="13.2" x14ac:dyDescent="0.25">
      <c r="B239" s="896" t="s">
        <v>216</v>
      </c>
      <c r="C239" s="899" t="s">
        <v>1137</v>
      </c>
    </row>
    <row r="240" spans="2:3" ht="13.2" x14ac:dyDescent="0.25">
      <c r="B240" s="896" t="s">
        <v>401</v>
      </c>
      <c r="C240" s="899" t="s">
        <v>1137</v>
      </c>
    </row>
    <row r="241" spans="2:3" ht="13.2" x14ac:dyDescent="0.25">
      <c r="B241" s="896" t="s">
        <v>402</v>
      </c>
      <c r="C241" s="899" t="s">
        <v>1137</v>
      </c>
    </row>
    <row r="242" spans="2:3" ht="13.2" x14ac:dyDescent="0.25">
      <c r="B242" s="896" t="s">
        <v>403</v>
      </c>
      <c r="C242" s="899" t="s">
        <v>1137</v>
      </c>
    </row>
    <row r="243" spans="2:3" ht="13.2" x14ac:dyDescent="0.25">
      <c r="B243" s="896" t="s">
        <v>404</v>
      </c>
      <c r="C243" s="899" t="s">
        <v>1137</v>
      </c>
    </row>
    <row r="244" spans="2:3" ht="13.2" x14ac:dyDescent="0.25">
      <c r="B244" s="896" t="s">
        <v>405</v>
      </c>
      <c r="C244" s="899" t="s">
        <v>1137</v>
      </c>
    </row>
    <row r="245" spans="2:3" ht="13.2" x14ac:dyDescent="0.25">
      <c r="B245" s="896" t="s">
        <v>217</v>
      </c>
      <c r="C245" s="899" t="s">
        <v>1137</v>
      </c>
    </row>
    <row r="246" spans="2:3" ht="13.2" x14ac:dyDescent="0.25">
      <c r="B246" s="896" t="s">
        <v>406</v>
      </c>
      <c r="C246" s="899" t="s">
        <v>1137</v>
      </c>
    </row>
    <row r="247" spans="2:3" ht="13.2" x14ac:dyDescent="0.25">
      <c r="B247" s="896" t="s">
        <v>407</v>
      </c>
      <c r="C247" s="899" t="s">
        <v>1137</v>
      </c>
    </row>
    <row r="248" spans="2:3" ht="13.2" x14ac:dyDescent="0.25">
      <c r="B248" s="896" t="s">
        <v>408</v>
      </c>
      <c r="C248" s="899" t="s">
        <v>1137</v>
      </c>
    </row>
    <row r="249" spans="2:3" ht="13.2" x14ac:dyDescent="0.25">
      <c r="B249" s="896" t="s">
        <v>409</v>
      </c>
      <c r="C249" s="899" t="s">
        <v>1137</v>
      </c>
    </row>
    <row r="250" spans="2:3" ht="13.2" x14ac:dyDescent="0.25">
      <c r="B250" s="896" t="s">
        <v>1128</v>
      </c>
      <c r="C250" s="899" t="s">
        <v>1137</v>
      </c>
    </row>
    <row r="251" spans="2:3" ht="13.2" x14ac:dyDescent="0.25">
      <c r="B251" s="896" t="s">
        <v>218</v>
      </c>
      <c r="C251" s="899" t="s">
        <v>1137</v>
      </c>
    </row>
    <row r="252" spans="2:3" ht="13.2" x14ac:dyDescent="0.25">
      <c r="B252" s="896" t="s">
        <v>410</v>
      </c>
      <c r="C252" s="899" t="s">
        <v>1137</v>
      </c>
    </row>
    <row r="253" spans="2:3" ht="13.2" x14ac:dyDescent="0.25">
      <c r="B253" s="896" t="s">
        <v>411</v>
      </c>
      <c r="C253" s="899" t="s">
        <v>1137</v>
      </c>
    </row>
    <row r="254" spans="2:3" ht="13.2" x14ac:dyDescent="0.25">
      <c r="B254" s="927" t="s">
        <v>1129</v>
      </c>
      <c r="C254" s="899" t="s">
        <v>1137</v>
      </c>
    </row>
    <row r="255" spans="2:3" ht="13.2" x14ac:dyDescent="0.25">
      <c r="B255" s="896" t="s">
        <v>220</v>
      </c>
      <c r="C255" s="899" t="s">
        <v>1137</v>
      </c>
    </row>
    <row r="256" spans="2:3" ht="13.2" x14ac:dyDescent="0.25">
      <c r="B256" s="896" t="s">
        <v>1092</v>
      </c>
      <c r="C256" s="899" t="s">
        <v>1138</v>
      </c>
    </row>
    <row r="257" spans="2:3" ht="13.2" x14ac:dyDescent="0.25">
      <c r="B257" s="896" t="s">
        <v>412</v>
      </c>
      <c r="C257" s="899" t="s">
        <v>1138</v>
      </c>
    </row>
    <row r="258" spans="2:3" ht="13.2" x14ac:dyDescent="0.25">
      <c r="B258" s="896" t="s">
        <v>413</v>
      </c>
      <c r="C258" s="899" t="s">
        <v>1138</v>
      </c>
    </row>
    <row r="259" spans="2:3" ht="13.2" x14ac:dyDescent="0.25">
      <c r="B259" s="896" t="s">
        <v>414</v>
      </c>
      <c r="C259" s="899" t="s">
        <v>1138</v>
      </c>
    </row>
    <row r="260" spans="2:3" ht="13.2" x14ac:dyDescent="0.25">
      <c r="B260" s="896" t="s">
        <v>415</v>
      </c>
      <c r="C260" s="899" t="s">
        <v>1138</v>
      </c>
    </row>
    <row r="261" spans="2:3" ht="13.2" x14ac:dyDescent="0.25">
      <c r="B261" s="896" t="s">
        <v>416</v>
      </c>
      <c r="C261" s="899" t="s">
        <v>1138</v>
      </c>
    </row>
    <row r="262" spans="2:3" ht="13.2" x14ac:dyDescent="0.25">
      <c r="B262" s="896" t="s">
        <v>192</v>
      </c>
      <c r="C262" s="899" t="s">
        <v>1138</v>
      </c>
    </row>
    <row r="263" spans="2:3" ht="13.2" x14ac:dyDescent="0.25">
      <c r="B263" s="896" t="s">
        <v>417</v>
      </c>
      <c r="C263" s="899" t="s">
        <v>1138</v>
      </c>
    </row>
    <row r="264" spans="2:3" ht="13.2" x14ac:dyDescent="0.25">
      <c r="B264" s="896" t="s">
        <v>418</v>
      </c>
      <c r="C264" s="899" t="s">
        <v>1138</v>
      </c>
    </row>
    <row r="265" spans="2:3" ht="13.2" x14ac:dyDescent="0.25">
      <c r="B265" s="896" t="s">
        <v>419</v>
      </c>
      <c r="C265" s="899" t="s">
        <v>1138</v>
      </c>
    </row>
    <row r="266" spans="2:3" ht="13.2" x14ac:dyDescent="0.25">
      <c r="B266" s="896" t="s">
        <v>420</v>
      </c>
      <c r="C266" s="899" t="s">
        <v>1138</v>
      </c>
    </row>
    <row r="267" spans="2:3" ht="13.2" x14ac:dyDescent="0.25">
      <c r="B267" s="896" t="s">
        <v>1015</v>
      </c>
      <c r="C267" s="899" t="s">
        <v>1138</v>
      </c>
    </row>
    <row r="268" spans="2:3" ht="13.2" x14ac:dyDescent="0.25">
      <c r="B268" s="896" t="s">
        <v>1077</v>
      </c>
      <c r="C268" s="899" t="s">
        <v>1138</v>
      </c>
    </row>
    <row r="269" spans="2:3" ht="13.2" x14ac:dyDescent="0.25">
      <c r="B269" s="896" t="s">
        <v>421</v>
      </c>
      <c r="C269" s="899" t="s">
        <v>1138</v>
      </c>
    </row>
    <row r="270" spans="2:3" ht="13.2" x14ac:dyDescent="0.25">
      <c r="B270" s="896" t="s">
        <v>422</v>
      </c>
      <c r="C270" s="899" t="s">
        <v>1138</v>
      </c>
    </row>
    <row r="271" spans="2:3" ht="13.2" x14ac:dyDescent="0.25">
      <c r="B271" s="896" t="s">
        <v>423</v>
      </c>
      <c r="C271" s="899" t="s">
        <v>1138</v>
      </c>
    </row>
    <row r="272" spans="2:3" ht="13.2" x14ac:dyDescent="0.25">
      <c r="B272" s="896" t="s">
        <v>424</v>
      </c>
      <c r="C272" s="899" t="s">
        <v>1138</v>
      </c>
    </row>
    <row r="273" spans="2:3" ht="13.2" x14ac:dyDescent="0.25">
      <c r="B273" s="896" t="s">
        <v>208</v>
      </c>
      <c r="C273" s="899" t="s">
        <v>1138</v>
      </c>
    </row>
    <row r="274" spans="2:3" ht="13.2" x14ac:dyDescent="0.25">
      <c r="B274" s="896" t="s">
        <v>425</v>
      </c>
      <c r="C274" s="899" t="s">
        <v>1138</v>
      </c>
    </row>
    <row r="275" spans="2:3" ht="13.2" x14ac:dyDescent="0.25">
      <c r="B275" s="896" t="s">
        <v>426</v>
      </c>
      <c r="C275" s="899" t="s">
        <v>1138</v>
      </c>
    </row>
    <row r="276" spans="2:3" ht="13.2" x14ac:dyDescent="0.25">
      <c r="B276" s="896" t="s">
        <v>427</v>
      </c>
      <c r="C276" s="899" t="s">
        <v>1138</v>
      </c>
    </row>
    <row r="277" spans="2:3" ht="13.2" x14ac:dyDescent="0.25">
      <c r="B277" s="896" t="s">
        <v>428</v>
      </c>
      <c r="C277" s="899" t="s">
        <v>1138</v>
      </c>
    </row>
    <row r="278" spans="2:3" ht="13.2" x14ac:dyDescent="0.25">
      <c r="B278" s="896" t="s">
        <v>429</v>
      </c>
      <c r="C278" s="899" t="s">
        <v>1138</v>
      </c>
    </row>
    <row r="279" spans="2:3" ht="13.2" x14ac:dyDescent="0.25">
      <c r="B279" s="896" t="s">
        <v>430</v>
      </c>
      <c r="C279" s="899" t="s">
        <v>1138</v>
      </c>
    </row>
    <row r="280" spans="2:3" ht="13.2" x14ac:dyDescent="0.25">
      <c r="B280" s="896" t="s">
        <v>431</v>
      </c>
      <c r="C280" s="899" t="s">
        <v>1138</v>
      </c>
    </row>
    <row r="281" spans="2:3" ht="13.2" x14ac:dyDescent="0.25">
      <c r="B281" s="896" t="s">
        <v>219</v>
      </c>
      <c r="C281" s="899" t="s">
        <v>1138</v>
      </c>
    </row>
    <row r="282" spans="2:3" ht="13.2" x14ac:dyDescent="0.25">
      <c r="B282" s="896" t="s">
        <v>432</v>
      </c>
      <c r="C282" s="899" t="s">
        <v>1138</v>
      </c>
    </row>
    <row r="283" spans="2:3" ht="13.2" x14ac:dyDescent="0.25">
      <c r="B283" s="896" t="s">
        <v>433</v>
      </c>
      <c r="C283" s="899" t="s">
        <v>1138</v>
      </c>
    </row>
    <row r="284" spans="2:3" ht="13.2" x14ac:dyDescent="0.25">
      <c r="B284" s="896" t="s">
        <v>434</v>
      </c>
      <c r="C284" s="899" t="s">
        <v>1138</v>
      </c>
    </row>
    <row r="285" spans="2:3" ht="13.2" x14ac:dyDescent="0.25">
      <c r="B285" s="896" t="s">
        <v>224</v>
      </c>
      <c r="C285" s="899" t="s">
        <v>1138</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8" zoomScaleNormal="100" workbookViewId="0">
      <selection activeCell="C97" sqref="C97"/>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1063</v>
      </c>
      <c r="B1" s="818"/>
      <c r="C1" s="817" t="s">
        <v>1062</v>
      </c>
      <c r="E1" s="816" t="s">
        <v>1061</v>
      </c>
    </row>
    <row r="2" spans="1:5" x14ac:dyDescent="0.2">
      <c r="A2" s="806" t="s">
        <v>1466</v>
      </c>
      <c r="B2" s="814" t="s">
        <v>838</v>
      </c>
      <c r="C2" s="812" t="s">
        <v>1477</v>
      </c>
      <c r="E2" s="815"/>
    </row>
    <row r="3" spans="1:5" x14ac:dyDescent="0.2">
      <c r="A3" s="806" t="s">
        <v>1467</v>
      </c>
      <c r="B3" s="811">
        <v>1.1000000000000001</v>
      </c>
      <c r="C3" s="810" t="s">
        <v>1478</v>
      </c>
      <c r="D3" s="806" t="str">
        <f t="shared" ref="D3:D12" si="0">CONCATENATE(B3, " - ", C3)</f>
        <v>1.1 - Chef Operations Office (administration)</v>
      </c>
      <c r="E3" s="809" t="s">
        <v>1545</v>
      </c>
    </row>
    <row r="4" spans="1:5" x14ac:dyDescent="0.2">
      <c r="A4" s="806" t="s">
        <v>1468</v>
      </c>
      <c r="B4" s="811">
        <v>1.2</v>
      </c>
      <c r="C4" s="810" t="s">
        <v>1479</v>
      </c>
      <c r="D4" s="806" t="str">
        <f t="shared" si="0"/>
        <v>1.2 - Legislative support</v>
      </c>
      <c r="E4" s="809" t="s">
        <v>1546</v>
      </c>
    </row>
    <row r="5" spans="1:5" x14ac:dyDescent="0.2">
      <c r="A5" s="806" t="s">
        <v>1469</v>
      </c>
      <c r="B5" s="811">
        <v>1.3</v>
      </c>
      <c r="C5" s="810" t="s">
        <v>1165</v>
      </c>
      <c r="D5" s="806" t="str">
        <f t="shared" si="0"/>
        <v>1.3 - Legal Services</v>
      </c>
      <c r="E5" s="809" t="s">
        <v>1547</v>
      </c>
    </row>
    <row r="6" spans="1:5" x14ac:dyDescent="0.2">
      <c r="A6" s="806" t="s">
        <v>1470</v>
      </c>
      <c r="B6" s="811">
        <v>1.4</v>
      </c>
      <c r="C6" s="810" t="s">
        <v>1480</v>
      </c>
      <c r="D6" s="806" t="str">
        <f t="shared" si="0"/>
        <v>1.4 - IDP</v>
      </c>
      <c r="E6" s="809" t="s">
        <v>1548</v>
      </c>
    </row>
    <row r="7" spans="1:5" x14ac:dyDescent="0.2">
      <c r="A7" s="806" t="s">
        <v>1471</v>
      </c>
      <c r="B7" s="811">
        <v>1.5</v>
      </c>
      <c r="C7" s="810" t="s">
        <v>1374</v>
      </c>
      <c r="D7" s="806" t="str">
        <f t="shared" si="0"/>
        <v>1.5 - Communications and Marketing</v>
      </c>
      <c r="E7" s="809" t="s">
        <v>1549</v>
      </c>
    </row>
    <row r="8" spans="1:5" x14ac:dyDescent="0.2">
      <c r="A8" s="806" t="s">
        <v>1472</v>
      </c>
      <c r="B8" s="811">
        <v>1.6</v>
      </c>
      <c r="C8" s="810" t="s">
        <v>1215</v>
      </c>
      <c r="D8" s="806" t="str">
        <f t="shared" si="0"/>
        <v>1.6 - Project Management Unit</v>
      </c>
      <c r="E8" s="809" t="s">
        <v>1550</v>
      </c>
    </row>
    <row r="9" spans="1:5" x14ac:dyDescent="0.2">
      <c r="A9" s="806" t="s">
        <v>1473</v>
      </c>
      <c r="B9" s="811">
        <v>1.7</v>
      </c>
      <c r="C9" s="810" t="s">
        <v>1481</v>
      </c>
      <c r="D9" s="806" t="str">
        <f t="shared" si="0"/>
        <v>1.7 - Performance Management</v>
      </c>
      <c r="E9" s="809" t="s">
        <v>1551</v>
      </c>
    </row>
    <row r="10" spans="1:5" x14ac:dyDescent="0.2">
      <c r="A10" s="806" t="s">
        <v>1474</v>
      </c>
      <c r="B10" s="811">
        <v>1.8</v>
      </c>
      <c r="C10" s="810" t="s">
        <v>1482</v>
      </c>
      <c r="D10" s="806" t="str">
        <f t="shared" si="0"/>
        <v>1.8 - Cluster Offices</v>
      </c>
      <c r="E10" s="809" t="s">
        <v>1552</v>
      </c>
    </row>
    <row r="11" spans="1:5" x14ac:dyDescent="0.2">
      <c r="A11" s="806" t="s">
        <v>1475</v>
      </c>
      <c r="B11" s="811">
        <v>1.9</v>
      </c>
      <c r="C11" s="810" t="s">
        <v>1483</v>
      </c>
      <c r="D11" s="806" t="str">
        <f t="shared" si="0"/>
        <v>1.9 - Executive Support</v>
      </c>
      <c r="E11" s="809" t="s">
        <v>1553</v>
      </c>
    </row>
    <row r="12" spans="1:5" x14ac:dyDescent="0.2">
      <c r="A12" s="806" t="s">
        <v>1476</v>
      </c>
      <c r="B12" s="811" t="s">
        <v>1060</v>
      </c>
      <c r="C12" s="810"/>
      <c r="D12" s="806" t="str">
        <f t="shared" si="0"/>
        <v xml:space="preserve">1.10 - </v>
      </c>
      <c r="E12" s="809"/>
    </row>
    <row r="13" spans="1:5" x14ac:dyDescent="0.2">
      <c r="A13" s="806" t="str">
        <f>B123&amp;" - "&amp;C123</f>
        <v xml:space="preserve">Vote 12 - </v>
      </c>
      <c r="B13" s="814" t="s">
        <v>837</v>
      </c>
      <c r="C13" s="812" t="s">
        <v>1484</v>
      </c>
      <c r="E13" s="815"/>
    </row>
    <row r="14" spans="1:5" x14ac:dyDescent="0.2">
      <c r="A14" s="806" t="str">
        <f>B134&amp;" - "&amp;C134</f>
        <v xml:space="preserve">Vote 13 - </v>
      </c>
      <c r="B14" s="811">
        <v>2.1</v>
      </c>
      <c r="C14" s="810" t="s">
        <v>1370</v>
      </c>
      <c r="D14" s="806" t="str">
        <f t="shared" ref="D14:D23" si="1">CONCATENATE(B14, " - ", C14)</f>
        <v>2.1 - COUNCIL</v>
      </c>
      <c r="E14" s="809" t="s">
        <v>1554</v>
      </c>
    </row>
    <row r="15" spans="1:5" x14ac:dyDescent="0.2">
      <c r="A15" s="806" t="str">
        <f>B145&amp;" - "&amp;C145</f>
        <v>Vote 14 - [NAME OF VOTE 14]</v>
      </c>
      <c r="B15" s="811">
        <v>2.2000000000000002</v>
      </c>
      <c r="C15" s="810" t="s">
        <v>1485</v>
      </c>
      <c r="D15" s="806" t="str">
        <f t="shared" si="1"/>
        <v>2.2 - Municipal Manager</v>
      </c>
      <c r="E15" s="809" t="s">
        <v>1555</v>
      </c>
    </row>
    <row r="16" spans="1:5" x14ac:dyDescent="0.2">
      <c r="A16" s="806" t="str">
        <f>B156&amp;" - "&amp;C156</f>
        <v>Vote 15 - [NAME OF VOTE 15]</v>
      </c>
      <c r="B16" s="811">
        <v>2.2999999999999998</v>
      </c>
      <c r="C16" s="810" t="s">
        <v>1167</v>
      </c>
      <c r="D16" s="806" t="str">
        <f t="shared" si="1"/>
        <v>2.3 - Risk Management</v>
      </c>
      <c r="E16" s="809" t="s">
        <v>1556</v>
      </c>
    </row>
    <row r="17" spans="1:5" x14ac:dyDescent="0.2">
      <c r="B17" s="811">
        <v>2.4</v>
      </c>
      <c r="C17" s="810" t="s">
        <v>1486</v>
      </c>
      <c r="D17" s="806" t="str">
        <f t="shared" si="1"/>
        <v>2.4 - Internal Audit</v>
      </c>
      <c r="E17" s="809" t="s">
        <v>1557</v>
      </c>
    </row>
    <row r="18" spans="1:5" x14ac:dyDescent="0.2">
      <c r="B18" s="811">
        <v>2.5</v>
      </c>
      <c r="C18" s="810"/>
      <c r="D18" s="806" t="str">
        <f t="shared" si="1"/>
        <v xml:space="preserve">2.5 - </v>
      </c>
      <c r="E18" s="809"/>
    </row>
    <row r="19" spans="1:5" x14ac:dyDescent="0.2">
      <c r="B19" s="811">
        <v>2.6</v>
      </c>
      <c r="C19" s="810"/>
      <c r="D19" s="806" t="str">
        <f t="shared" si="1"/>
        <v xml:space="preserve">2.6 - </v>
      </c>
      <c r="E19" s="809"/>
    </row>
    <row r="20" spans="1:5" x14ac:dyDescent="0.2">
      <c r="B20" s="811">
        <v>2.7</v>
      </c>
      <c r="C20" s="810"/>
      <c r="D20" s="806" t="str">
        <f t="shared" si="1"/>
        <v xml:space="preserve">2.7 - </v>
      </c>
      <c r="E20" s="809"/>
    </row>
    <row r="21" spans="1:5" x14ac:dyDescent="0.2">
      <c r="A21" s="815"/>
      <c r="B21" s="811">
        <v>2.8</v>
      </c>
      <c r="C21" s="810"/>
      <c r="D21" s="806" t="str">
        <f t="shared" si="1"/>
        <v xml:space="preserve">2.8 - </v>
      </c>
      <c r="E21" s="809"/>
    </row>
    <row r="22" spans="1:5" x14ac:dyDescent="0.2">
      <c r="B22" s="811">
        <v>2.9</v>
      </c>
      <c r="C22" s="810"/>
      <c r="D22" s="806" t="str">
        <f t="shared" si="1"/>
        <v xml:space="preserve">2.9 - </v>
      </c>
      <c r="E22" s="809"/>
    </row>
    <row r="23" spans="1:5" x14ac:dyDescent="0.2">
      <c r="B23" s="811" t="s">
        <v>1059</v>
      </c>
      <c r="C23" s="810"/>
      <c r="D23" s="806" t="str">
        <f t="shared" si="1"/>
        <v xml:space="preserve">2.10 - </v>
      </c>
      <c r="E23" s="809"/>
    </row>
    <row r="24" spans="1:5" x14ac:dyDescent="0.2">
      <c r="B24" s="814" t="s">
        <v>836</v>
      </c>
      <c r="C24" s="812" t="s">
        <v>1487</v>
      </c>
      <c r="E24" s="809"/>
    </row>
    <row r="25" spans="1:5" x14ac:dyDescent="0.2">
      <c r="B25" s="811">
        <v>3.1</v>
      </c>
      <c r="C25" s="810" t="s">
        <v>1488</v>
      </c>
      <c r="D25" s="806" t="str">
        <f t="shared" ref="D25:D34" si="2">CONCATENATE(B25, " - ", C25)</f>
        <v>3.1 - Water and sanitation admin</v>
      </c>
      <c r="E25" s="809" t="s">
        <v>1558</v>
      </c>
    </row>
    <row r="26" spans="1:5" x14ac:dyDescent="0.2">
      <c r="B26" s="811">
        <v>3.2</v>
      </c>
      <c r="C26" s="810" t="s">
        <v>1489</v>
      </c>
      <c r="D26" s="806" t="str">
        <f t="shared" si="2"/>
        <v>3.2 - Reticulation, Distribution and Maitenance, Water Demand and Coservation</v>
      </c>
      <c r="E26" s="809" t="s">
        <v>1559</v>
      </c>
    </row>
    <row r="27" spans="1:5" x14ac:dyDescent="0.2">
      <c r="B27" s="811">
        <v>3.3</v>
      </c>
      <c r="C27" s="810" t="s">
        <v>1490</v>
      </c>
      <c r="D27" s="806" t="str">
        <f t="shared" si="2"/>
        <v>3.3 - Operations, Water and Waste Water, Quality Management and Laboratory Services</v>
      </c>
      <c r="E27" s="809" t="s">
        <v>1560</v>
      </c>
    </row>
    <row r="28" spans="1:5" x14ac:dyDescent="0.2">
      <c r="B28" s="811">
        <v>3.4</v>
      </c>
      <c r="C28" s="810" t="s">
        <v>1491</v>
      </c>
      <c r="D28" s="806" t="str">
        <f t="shared" si="2"/>
        <v>3.4 - Quality Monitoring Services</v>
      </c>
      <c r="E28" s="809" t="s">
        <v>1561</v>
      </c>
    </row>
    <row r="29" spans="1:5" x14ac:dyDescent="0.2">
      <c r="B29" s="811">
        <v>3.5</v>
      </c>
      <c r="C29" s="810" t="s">
        <v>1492</v>
      </c>
      <c r="D29" s="806" t="str">
        <f t="shared" si="2"/>
        <v>3.5 - Infrastructure Development, Planning and Reticulation Design</v>
      </c>
      <c r="E29" s="809" t="s">
        <v>1562</v>
      </c>
    </row>
    <row r="30" spans="1:5" x14ac:dyDescent="0.2">
      <c r="B30" s="811">
        <v>3.6</v>
      </c>
      <c r="C30" s="810"/>
      <c r="D30" s="806" t="str">
        <f t="shared" si="2"/>
        <v xml:space="preserve">3.6 - </v>
      </c>
      <c r="E30" s="809"/>
    </row>
    <row r="31" spans="1:5" x14ac:dyDescent="0.2">
      <c r="B31" s="811">
        <v>3.7</v>
      </c>
      <c r="C31" s="810"/>
      <c r="D31" s="806" t="str">
        <f t="shared" si="2"/>
        <v xml:space="preserve">3.7 - </v>
      </c>
      <c r="E31" s="809"/>
    </row>
    <row r="32" spans="1:5" x14ac:dyDescent="0.2">
      <c r="B32" s="811">
        <v>3.8</v>
      </c>
      <c r="C32" s="810"/>
      <c r="D32" s="806" t="str">
        <f t="shared" si="2"/>
        <v xml:space="preserve">3.8 - </v>
      </c>
      <c r="E32" s="809"/>
    </row>
    <row r="33" spans="2:5" x14ac:dyDescent="0.2">
      <c r="B33" s="811">
        <v>3.9</v>
      </c>
      <c r="C33" s="810"/>
      <c r="D33" s="806" t="str">
        <f t="shared" si="2"/>
        <v xml:space="preserve">3.9 - </v>
      </c>
      <c r="E33" s="809"/>
    </row>
    <row r="34" spans="2:5" x14ac:dyDescent="0.2">
      <c r="B34" s="811" t="s">
        <v>1058</v>
      </c>
      <c r="C34" s="810"/>
      <c r="D34" s="806" t="str">
        <f t="shared" si="2"/>
        <v xml:space="preserve">3.10 - </v>
      </c>
      <c r="E34" s="809"/>
    </row>
    <row r="35" spans="2:5" x14ac:dyDescent="0.2">
      <c r="B35" s="814" t="s">
        <v>835</v>
      </c>
      <c r="C35" s="812" t="s">
        <v>1493</v>
      </c>
      <c r="E35" s="809"/>
    </row>
    <row r="36" spans="2:5" x14ac:dyDescent="0.2">
      <c r="B36" s="811">
        <v>4.0999999999999996</v>
      </c>
      <c r="C36" s="810" t="s">
        <v>1494</v>
      </c>
      <c r="D36" s="806" t="str">
        <f t="shared" ref="D36:D45" si="3">CONCATENATE(B36, " - ", C36)</f>
        <v>4.1 - Energy Services Admin</v>
      </c>
      <c r="E36" s="809" t="s">
        <v>1563</v>
      </c>
    </row>
    <row r="37" spans="2:5" x14ac:dyDescent="0.2">
      <c r="B37" s="811">
        <v>4.2</v>
      </c>
      <c r="C37" s="810" t="s">
        <v>1495</v>
      </c>
      <c r="D37" s="806" t="str">
        <f t="shared" si="3"/>
        <v>4.2 - Energy Operation and Maintenance Admininstration</v>
      </c>
      <c r="E37" s="809" t="s">
        <v>1564</v>
      </c>
    </row>
    <row r="38" spans="2:5" x14ac:dyDescent="0.2">
      <c r="B38" s="811">
        <v>4.3</v>
      </c>
      <c r="C38" s="810" t="s">
        <v>1496</v>
      </c>
      <c r="D38" s="806" t="str">
        <f t="shared" si="3"/>
        <v>4.3 - Energy Services: 66KV Operations, Maitenance: Scada and Protection</v>
      </c>
      <c r="E38" s="809" t="s">
        <v>1565</v>
      </c>
    </row>
    <row r="39" spans="2:5" x14ac:dyDescent="0.2">
      <c r="B39" s="811">
        <v>4.4000000000000004</v>
      </c>
      <c r="C39" s="810" t="s">
        <v>1497</v>
      </c>
      <c r="D39" s="806" t="str">
        <f t="shared" si="3"/>
        <v>4.4 - Energy Services: 11KV Operations, Maitenance and Construction</v>
      </c>
      <c r="E39" s="809" t="s">
        <v>1566</v>
      </c>
    </row>
    <row r="40" spans="2:5" x14ac:dyDescent="0.2">
      <c r="B40" s="811">
        <v>4.5</v>
      </c>
      <c r="C40" s="810" t="s">
        <v>1498</v>
      </c>
      <c r="D40" s="806" t="str">
        <f t="shared" si="3"/>
        <v>4.5 - Energy Services: Planning and development</v>
      </c>
      <c r="E40" s="809" t="s">
        <v>1567</v>
      </c>
    </row>
    <row r="41" spans="2:5" x14ac:dyDescent="0.2">
      <c r="B41" s="811">
        <v>4.5999999999999996</v>
      </c>
      <c r="C41" s="810"/>
      <c r="D41" s="806" t="str">
        <f t="shared" si="3"/>
        <v xml:space="preserve">4.6 - </v>
      </c>
      <c r="E41" s="809" t="s">
        <v>1568</v>
      </c>
    </row>
    <row r="42" spans="2:5" x14ac:dyDescent="0.2">
      <c r="B42" s="811">
        <v>4.7</v>
      </c>
      <c r="C42" s="810"/>
      <c r="D42" s="806" t="str">
        <f t="shared" si="3"/>
        <v xml:space="preserve">4.7 - </v>
      </c>
      <c r="E42" s="809" t="s">
        <v>1569</v>
      </c>
    </row>
    <row r="43" spans="2:5" x14ac:dyDescent="0.2">
      <c r="B43" s="811">
        <v>4.8</v>
      </c>
      <c r="C43" s="810"/>
      <c r="D43" s="806" t="str">
        <f t="shared" si="3"/>
        <v xml:space="preserve">4.8 - </v>
      </c>
      <c r="E43" s="809" t="s">
        <v>1572</v>
      </c>
    </row>
    <row r="44" spans="2:5" x14ac:dyDescent="0.2">
      <c r="B44" s="811">
        <v>4.9000000000000004</v>
      </c>
      <c r="C44" s="810"/>
      <c r="D44" s="806" t="str">
        <f t="shared" si="3"/>
        <v xml:space="preserve">4.9 - </v>
      </c>
      <c r="E44" s="809" t="s">
        <v>1570</v>
      </c>
    </row>
    <row r="45" spans="2:5" x14ac:dyDescent="0.2">
      <c r="B45" s="811" t="s">
        <v>1057</v>
      </c>
      <c r="C45" s="810"/>
      <c r="D45" s="806" t="str">
        <f t="shared" si="3"/>
        <v xml:space="preserve">4.10 - </v>
      </c>
      <c r="E45" s="809" t="s">
        <v>1571</v>
      </c>
    </row>
    <row r="46" spans="2:5" x14ac:dyDescent="0.2">
      <c r="B46" s="814" t="s">
        <v>834</v>
      </c>
      <c r="C46" s="812" t="s">
        <v>1499</v>
      </c>
      <c r="E46" s="809"/>
    </row>
    <row r="47" spans="2:5" x14ac:dyDescent="0.2">
      <c r="B47" s="811">
        <v>5.0999999999999996</v>
      </c>
      <c r="C47" s="810" t="s">
        <v>1500</v>
      </c>
      <c r="D47" s="806" t="str">
        <f t="shared" ref="D47:D56" si="4">CONCATENATE(B47, " - ", C47)</f>
        <v>5.1 - Directorate Community Services</v>
      </c>
      <c r="E47" s="809" t="s">
        <v>1573</v>
      </c>
    </row>
    <row r="48" spans="2:5" x14ac:dyDescent="0.2">
      <c r="B48" s="811">
        <v>5.2</v>
      </c>
      <c r="C48" s="810" t="s">
        <v>793</v>
      </c>
      <c r="D48" s="806" t="str">
        <f t="shared" si="4"/>
        <v>5.2 - Sport and Recreation</v>
      </c>
      <c r="E48" s="809" t="s">
        <v>1574</v>
      </c>
    </row>
    <row r="49" spans="2:5" x14ac:dyDescent="0.2">
      <c r="B49" s="811">
        <v>5.3</v>
      </c>
      <c r="C49" s="810" t="s">
        <v>1501</v>
      </c>
      <c r="D49" s="806" t="str">
        <f t="shared" si="4"/>
        <v>5.3 - Sport and Facilities Maintenance</v>
      </c>
      <c r="E49" s="809" t="s">
        <v>1575</v>
      </c>
    </row>
    <row r="50" spans="2:5" x14ac:dyDescent="0.2">
      <c r="B50" s="811">
        <v>5.4</v>
      </c>
      <c r="C50" s="810" t="s">
        <v>1502</v>
      </c>
      <c r="D50" s="806" t="str">
        <f t="shared" si="4"/>
        <v>5.4 - Swimming Pools</v>
      </c>
      <c r="E50" s="809" t="s">
        <v>1576</v>
      </c>
    </row>
    <row r="51" spans="2:5" x14ac:dyDescent="0.2">
      <c r="B51" s="811">
        <v>5.5</v>
      </c>
      <c r="C51" s="810" t="s">
        <v>1186</v>
      </c>
      <c r="D51" s="806" t="str">
        <f t="shared" si="4"/>
        <v>5.5 - Museums and Art Galleries</v>
      </c>
      <c r="E51" s="809" t="s">
        <v>1577</v>
      </c>
    </row>
    <row r="52" spans="2:5" x14ac:dyDescent="0.2">
      <c r="B52" s="811">
        <v>5.6</v>
      </c>
      <c r="C52" s="810" t="s">
        <v>171</v>
      </c>
      <c r="D52" s="806" t="str">
        <f t="shared" si="4"/>
        <v>5.6 - Libraries and Archives</v>
      </c>
      <c r="E52" s="809" t="s">
        <v>1578</v>
      </c>
    </row>
    <row r="53" spans="2:5" x14ac:dyDescent="0.2">
      <c r="B53" s="811">
        <v>5.7</v>
      </c>
      <c r="C53" s="810" t="s">
        <v>1503</v>
      </c>
      <c r="D53" s="806" t="str">
        <f t="shared" si="4"/>
        <v>5.7 - Culture Services</v>
      </c>
      <c r="E53" s="809" t="s">
        <v>1579</v>
      </c>
    </row>
    <row r="54" spans="2:5" x14ac:dyDescent="0.2">
      <c r="B54" s="811">
        <v>5.8</v>
      </c>
      <c r="C54" s="810" t="s">
        <v>1504</v>
      </c>
      <c r="D54" s="806" t="str">
        <f t="shared" si="4"/>
        <v>5.8 - Cemetaries</v>
      </c>
      <c r="E54" s="809" t="s">
        <v>1580</v>
      </c>
    </row>
    <row r="55" spans="2:5" x14ac:dyDescent="0.2">
      <c r="B55" s="811">
        <v>5.9</v>
      </c>
      <c r="C55" s="810" t="s">
        <v>1505</v>
      </c>
      <c r="D55" s="806" t="str">
        <f t="shared" si="4"/>
        <v>5.9 - Waste Management</v>
      </c>
      <c r="E55" s="809" t="s">
        <v>1376</v>
      </c>
    </row>
    <row r="56" spans="2:5" x14ac:dyDescent="0.2">
      <c r="B56" s="811" t="s">
        <v>1056</v>
      </c>
      <c r="C56" s="810" t="s">
        <v>1506</v>
      </c>
      <c r="D56" s="806" t="str">
        <f t="shared" si="4"/>
        <v>5.10 - Other Community Services</v>
      </c>
      <c r="E56" s="809" t="s">
        <v>1377</v>
      </c>
    </row>
    <row r="57" spans="2:5" x14ac:dyDescent="0.2">
      <c r="B57" s="814" t="s">
        <v>833</v>
      </c>
      <c r="C57" s="812" t="s">
        <v>1507</v>
      </c>
      <c r="E57" s="809"/>
    </row>
    <row r="58" spans="2:5" x14ac:dyDescent="0.2">
      <c r="B58" s="811">
        <v>6.1</v>
      </c>
      <c r="C58" s="810" t="s">
        <v>1168</v>
      </c>
      <c r="D58" s="806" t="str">
        <f t="shared" ref="D58:D67" si="5">CONCATENATE(B58, " - ", C58)</f>
        <v>6.1 - Security Services</v>
      </c>
      <c r="E58" s="809" t="s">
        <v>1581</v>
      </c>
    </row>
    <row r="59" spans="2:5" x14ac:dyDescent="0.2">
      <c r="B59" s="811">
        <v>6.2</v>
      </c>
      <c r="C59" s="810" t="s">
        <v>1508</v>
      </c>
      <c r="D59" s="806" t="str">
        <f t="shared" si="5"/>
        <v>6.2 - Fire and Emergency Services</v>
      </c>
      <c r="E59" s="809" t="s">
        <v>1582</v>
      </c>
    </row>
    <row r="60" spans="2:5" x14ac:dyDescent="0.2">
      <c r="B60" s="811">
        <v>6.3</v>
      </c>
      <c r="C60" s="810" t="s">
        <v>1509</v>
      </c>
      <c r="D60" s="806" t="str">
        <f t="shared" si="5"/>
        <v>6.3 - Public Safety Administrative</v>
      </c>
      <c r="E60" s="809" t="s">
        <v>1583</v>
      </c>
    </row>
    <row r="61" spans="2:5" x14ac:dyDescent="0.2">
      <c r="B61" s="811">
        <v>6.4</v>
      </c>
      <c r="C61" s="810" t="s">
        <v>1510</v>
      </c>
      <c r="D61" s="806" t="str">
        <f t="shared" si="5"/>
        <v>6.4 - Licensing</v>
      </c>
      <c r="E61" s="809" t="s">
        <v>1584</v>
      </c>
    </row>
    <row r="62" spans="2:5" x14ac:dyDescent="0.2">
      <c r="B62" s="811">
        <v>6.5</v>
      </c>
      <c r="C62" s="810" t="s">
        <v>1511</v>
      </c>
      <c r="D62" s="806" t="str">
        <f t="shared" si="5"/>
        <v>6.5 - Vehicle Licensing and Testing</v>
      </c>
      <c r="E62" s="809" t="s">
        <v>1585</v>
      </c>
    </row>
    <row r="63" spans="2:5" x14ac:dyDescent="0.2">
      <c r="B63" s="811">
        <v>6.6</v>
      </c>
      <c r="C63" s="810" t="s">
        <v>1512</v>
      </c>
      <c r="D63" s="806" t="str">
        <f t="shared" si="5"/>
        <v>6.6 - Traffic</v>
      </c>
      <c r="E63" s="809" t="s">
        <v>1586</v>
      </c>
    </row>
    <row r="64" spans="2:5" x14ac:dyDescent="0.2">
      <c r="B64" s="811">
        <v>6.7</v>
      </c>
      <c r="C64" s="810" t="s">
        <v>1513</v>
      </c>
      <c r="D64" s="806" t="str">
        <f t="shared" si="5"/>
        <v>6.7 - By-Law Enforcement and Security (administration)</v>
      </c>
      <c r="E64" s="809" t="s">
        <v>1587</v>
      </c>
    </row>
    <row r="65" spans="2:5" x14ac:dyDescent="0.2">
      <c r="B65" s="811">
        <v>6.8</v>
      </c>
      <c r="C65" s="810" t="s">
        <v>1180</v>
      </c>
      <c r="D65" s="806" t="str">
        <f t="shared" si="5"/>
        <v>6.8 - Disaster Management</v>
      </c>
      <c r="E65" s="809" t="s">
        <v>1588</v>
      </c>
    </row>
    <row r="66" spans="2:5" x14ac:dyDescent="0.2">
      <c r="B66" s="811">
        <v>6.9</v>
      </c>
      <c r="C66" s="810" t="s">
        <v>1202</v>
      </c>
      <c r="D66" s="806" t="str">
        <f t="shared" si="5"/>
        <v>6.9 - Health Services</v>
      </c>
      <c r="E66" s="809" t="s">
        <v>1589</v>
      </c>
    </row>
    <row r="67" spans="2:5" x14ac:dyDescent="0.2">
      <c r="B67" s="811" t="s">
        <v>1055</v>
      </c>
      <c r="C67" s="810"/>
      <c r="D67" s="806" t="str">
        <f t="shared" si="5"/>
        <v xml:space="preserve">6.10 - </v>
      </c>
      <c r="E67" s="809" t="s">
        <v>1590</v>
      </c>
    </row>
    <row r="68" spans="2:5" x14ac:dyDescent="0.2">
      <c r="B68" s="813" t="s">
        <v>832</v>
      </c>
      <c r="C68" s="812" t="s">
        <v>1371</v>
      </c>
      <c r="E68" s="809"/>
    </row>
    <row r="69" spans="2:5" x14ac:dyDescent="0.2">
      <c r="B69" s="811">
        <v>7.1</v>
      </c>
      <c r="C69" s="810" t="s">
        <v>1514</v>
      </c>
      <c r="D69" s="806" t="str">
        <f t="shared" ref="D69:D78" si="6">CONCATENATE(B69, " - ", C69)</f>
        <v>7.1 - Corporate and Shared Services</v>
      </c>
      <c r="E69" s="809" t="s">
        <v>1591</v>
      </c>
    </row>
    <row r="70" spans="2:5" x14ac:dyDescent="0.2">
      <c r="B70" s="811">
        <v>7.2</v>
      </c>
      <c r="C70" s="810" t="s">
        <v>1515</v>
      </c>
      <c r="D70" s="806" t="str">
        <f t="shared" si="6"/>
        <v>7.2 - Information Services</v>
      </c>
      <c r="E70" s="809" t="s">
        <v>1592</v>
      </c>
    </row>
    <row r="71" spans="2:5" x14ac:dyDescent="0.2">
      <c r="B71" s="811">
        <v>7.3</v>
      </c>
      <c r="C71" s="810" t="s">
        <v>1516</v>
      </c>
      <c r="D71" s="806" t="str">
        <f t="shared" si="6"/>
        <v>7.3 - Occupational Health and Safety</v>
      </c>
      <c r="E71" s="809" t="s">
        <v>1593</v>
      </c>
    </row>
    <row r="72" spans="2:5" x14ac:dyDescent="0.2">
      <c r="B72" s="811">
        <v>7.4</v>
      </c>
      <c r="C72" s="810" t="s">
        <v>1164</v>
      </c>
      <c r="D72" s="806" t="str">
        <f t="shared" si="6"/>
        <v>7.4 - Fleet Management</v>
      </c>
      <c r="E72" s="809" t="s">
        <v>1594</v>
      </c>
    </row>
    <row r="73" spans="2:5" x14ac:dyDescent="0.2">
      <c r="B73" s="811">
        <v>7.5</v>
      </c>
      <c r="C73" s="810" t="s">
        <v>1517</v>
      </c>
      <c r="D73" s="806" t="str">
        <f t="shared" si="6"/>
        <v>7.5 - Human Resources Management</v>
      </c>
      <c r="E73" s="809" t="s">
        <v>1595</v>
      </c>
    </row>
    <row r="74" spans="2:5" x14ac:dyDescent="0.2">
      <c r="B74" s="811">
        <v>7.6</v>
      </c>
      <c r="C74" s="810" t="s">
        <v>1518</v>
      </c>
      <c r="D74" s="806" t="str">
        <f t="shared" si="6"/>
        <v>7.6 - Human Resources Admin</v>
      </c>
      <c r="E74" s="809" t="s">
        <v>1596</v>
      </c>
    </row>
    <row r="75" spans="2:5" x14ac:dyDescent="0.2">
      <c r="B75" s="811">
        <v>7.7</v>
      </c>
      <c r="C75" s="810" t="s">
        <v>1519</v>
      </c>
      <c r="D75" s="806" t="str">
        <f t="shared" si="6"/>
        <v>7.7 - Human Resources Development</v>
      </c>
      <c r="E75" s="809" t="s">
        <v>1597</v>
      </c>
    </row>
    <row r="76" spans="2:5" x14ac:dyDescent="0.2">
      <c r="B76" s="811">
        <v>7.8</v>
      </c>
      <c r="C76" s="810"/>
      <c r="D76" s="806" t="str">
        <f t="shared" si="6"/>
        <v xml:space="preserve">7.8 - </v>
      </c>
      <c r="E76" s="809" t="s">
        <v>1598</v>
      </c>
    </row>
    <row r="77" spans="2:5" x14ac:dyDescent="0.2">
      <c r="B77" s="811">
        <v>7.9</v>
      </c>
      <c r="C77" s="810"/>
      <c r="D77" s="806" t="str">
        <f t="shared" si="6"/>
        <v xml:space="preserve">7.9 - </v>
      </c>
      <c r="E77" s="809" t="s">
        <v>1599</v>
      </c>
    </row>
    <row r="78" spans="2:5" x14ac:dyDescent="0.2">
      <c r="B78" s="811" t="s">
        <v>1054</v>
      </c>
      <c r="C78" s="810"/>
      <c r="D78" s="806" t="str">
        <f t="shared" si="6"/>
        <v xml:space="preserve">7.10 - </v>
      </c>
      <c r="E78" s="809" t="s">
        <v>1600</v>
      </c>
    </row>
    <row r="79" spans="2:5" x14ac:dyDescent="0.2">
      <c r="B79" s="813" t="s">
        <v>831</v>
      </c>
      <c r="C79" s="812" t="s">
        <v>1372</v>
      </c>
      <c r="E79" s="809"/>
    </row>
    <row r="80" spans="2:5" x14ac:dyDescent="0.2">
      <c r="B80" s="811">
        <v>8.1</v>
      </c>
      <c r="C80" s="810" t="s">
        <v>1520</v>
      </c>
      <c r="D80" s="806" t="str">
        <f t="shared" ref="D80:D89" si="7">CONCATENATE(B80, " - ", C80)</f>
        <v>8.1 - Directorate Planning and Development</v>
      </c>
      <c r="E80" s="809" t="s">
        <v>1601</v>
      </c>
    </row>
    <row r="81" spans="2:5" x14ac:dyDescent="0.2">
      <c r="B81" s="811">
        <v>8.1999999999999993</v>
      </c>
      <c r="C81" s="810" t="s">
        <v>170</v>
      </c>
      <c r="D81" s="806" t="str">
        <f t="shared" si="7"/>
        <v>8.2 - Property Services</v>
      </c>
      <c r="E81" s="809" t="s">
        <v>1602</v>
      </c>
    </row>
    <row r="82" spans="2:5" x14ac:dyDescent="0.2">
      <c r="B82" s="811">
        <v>8.3000000000000007</v>
      </c>
      <c r="C82" s="810" t="s">
        <v>1521</v>
      </c>
      <c r="D82" s="806" t="str">
        <f t="shared" si="7"/>
        <v>8.3 - City and Regional Planning</v>
      </c>
      <c r="E82" s="809" t="s">
        <v>1603</v>
      </c>
    </row>
    <row r="83" spans="2:5" x14ac:dyDescent="0.2">
      <c r="B83" s="811">
        <v>8.4</v>
      </c>
      <c r="C83" s="810" t="s">
        <v>1522</v>
      </c>
      <c r="D83" s="806" t="str">
        <f t="shared" si="7"/>
        <v>8.4 - Corporate Geo Information</v>
      </c>
      <c r="E83" s="809" t="s">
        <v>1604</v>
      </c>
    </row>
    <row r="84" spans="2:5" x14ac:dyDescent="0.2">
      <c r="B84" s="811">
        <v>8.5</v>
      </c>
      <c r="C84" s="810" t="s">
        <v>1523</v>
      </c>
      <c r="D84" s="806" t="str">
        <f t="shared" si="7"/>
        <v>8.5 - Building Inspectorate</v>
      </c>
      <c r="E84" s="809" t="s">
        <v>1605</v>
      </c>
    </row>
    <row r="85" spans="2:5" x14ac:dyDescent="0.2">
      <c r="B85" s="811">
        <v>8.6</v>
      </c>
      <c r="C85" s="810" t="s">
        <v>1524</v>
      </c>
      <c r="D85" s="806" t="str">
        <f t="shared" si="7"/>
        <v>8.6 - Economic Development and Tourism</v>
      </c>
      <c r="E85" s="809" t="s">
        <v>1606</v>
      </c>
    </row>
    <row r="86" spans="2:5" x14ac:dyDescent="0.2">
      <c r="B86" s="811">
        <v>8.6999999999999993</v>
      </c>
      <c r="C86" s="810" t="s">
        <v>1525</v>
      </c>
      <c r="D86" s="806" t="str">
        <f t="shared" si="7"/>
        <v>8.7 - Local Economic Development</v>
      </c>
      <c r="E86" s="809" t="s">
        <v>1607</v>
      </c>
    </row>
    <row r="87" spans="2:5" x14ac:dyDescent="0.2">
      <c r="B87" s="811">
        <v>8.8000000000000007</v>
      </c>
      <c r="C87" s="810" t="s">
        <v>1526</v>
      </c>
      <c r="D87" s="806" t="str">
        <f t="shared" si="7"/>
        <v>8.8 - Investment Promotion</v>
      </c>
      <c r="E87" s="809" t="s">
        <v>1608</v>
      </c>
    </row>
    <row r="88" spans="2:5" x14ac:dyDescent="0.2">
      <c r="B88" s="811">
        <v>8.9</v>
      </c>
      <c r="C88" s="810" t="s">
        <v>1527</v>
      </c>
      <c r="D88" s="806" t="str">
        <f t="shared" si="7"/>
        <v>8.9 - LED (Economic Planning)</v>
      </c>
      <c r="E88" s="809" t="s">
        <v>1609</v>
      </c>
    </row>
    <row r="89" spans="2:5" x14ac:dyDescent="0.2">
      <c r="B89" s="811" t="s">
        <v>1053</v>
      </c>
      <c r="C89" s="810" t="s">
        <v>1528</v>
      </c>
      <c r="D89" s="806" t="str">
        <f t="shared" si="7"/>
        <v>8.10 - Other Planning and Economic Development</v>
      </c>
      <c r="E89" s="809" t="s">
        <v>1379</v>
      </c>
    </row>
    <row r="90" spans="2:5" x14ac:dyDescent="0.2">
      <c r="B90" s="813" t="s">
        <v>830</v>
      </c>
      <c r="C90" s="812" t="s">
        <v>1373</v>
      </c>
      <c r="E90" s="809"/>
    </row>
    <row r="91" spans="2:5" x14ac:dyDescent="0.2">
      <c r="B91" s="811">
        <v>9.1</v>
      </c>
      <c r="C91" s="810" t="s">
        <v>1529</v>
      </c>
      <c r="D91" s="806" t="str">
        <f t="shared" ref="D91:D100" si="8">CONCATENATE(B91, " - ", C91)</f>
        <v>9.1 - Budget and Treasury Office (Administration)</v>
      </c>
      <c r="E91" s="809" t="s">
        <v>1611</v>
      </c>
    </row>
    <row r="92" spans="2:5" x14ac:dyDescent="0.2">
      <c r="B92" s="811">
        <v>9.1999999999999993</v>
      </c>
      <c r="C92" s="810" t="s">
        <v>1530</v>
      </c>
      <c r="D92" s="806" t="str">
        <f t="shared" si="8"/>
        <v>9.2 - Expenditure</v>
      </c>
      <c r="E92" s="809" t="s">
        <v>1610</v>
      </c>
    </row>
    <row r="93" spans="2:5" x14ac:dyDescent="0.2">
      <c r="B93" s="811">
        <v>9.3000000000000007</v>
      </c>
      <c r="C93" s="810" t="s">
        <v>1531</v>
      </c>
      <c r="D93" s="806" t="str">
        <f t="shared" si="8"/>
        <v>9.3 - Revenue Management and Customer Care</v>
      </c>
      <c r="E93" s="809" t="s">
        <v>1612</v>
      </c>
    </row>
    <row r="94" spans="2:5" x14ac:dyDescent="0.2">
      <c r="B94" s="811">
        <v>9.4</v>
      </c>
      <c r="C94" s="810" t="s">
        <v>1378</v>
      </c>
      <c r="D94" s="806" t="str">
        <f t="shared" si="8"/>
        <v>9.4 - Supply Chain Management</v>
      </c>
      <c r="E94" s="809" t="s">
        <v>1613</v>
      </c>
    </row>
    <row r="95" spans="2:5" x14ac:dyDescent="0.2">
      <c r="B95" s="811">
        <v>9.5</v>
      </c>
      <c r="C95" s="810" t="s">
        <v>1161</v>
      </c>
      <c r="D95" s="806" t="str">
        <f t="shared" si="8"/>
        <v>9.5 - Asset Management</v>
      </c>
      <c r="E95" s="809" t="s">
        <v>1614</v>
      </c>
    </row>
    <row r="96" spans="2:5" x14ac:dyDescent="0.2">
      <c r="B96" s="811">
        <v>9.6</v>
      </c>
      <c r="C96" s="810" t="s">
        <v>1532</v>
      </c>
      <c r="D96" s="806" t="str">
        <f t="shared" si="8"/>
        <v>9.6 - Budget and Financial Reporting</v>
      </c>
      <c r="E96" s="809" t="s">
        <v>1615</v>
      </c>
    </row>
    <row r="97" spans="2:5" x14ac:dyDescent="0.2">
      <c r="B97" s="811">
        <v>9.6999999999999993</v>
      </c>
      <c r="C97" s="810" t="s">
        <v>1533</v>
      </c>
      <c r="D97" s="806" t="str">
        <f t="shared" si="8"/>
        <v>9.7 - Business and Financial Planning</v>
      </c>
      <c r="E97" s="809" t="s">
        <v>1616</v>
      </c>
    </row>
    <row r="98" spans="2:5" x14ac:dyDescent="0.2">
      <c r="B98" s="811">
        <v>9.8000000000000007</v>
      </c>
      <c r="C98" s="810"/>
      <c r="D98" s="806" t="str">
        <f t="shared" si="8"/>
        <v xml:space="preserve">9.8 - </v>
      </c>
      <c r="E98" s="809"/>
    </row>
    <row r="99" spans="2:5" x14ac:dyDescent="0.2">
      <c r="B99" s="811">
        <v>9.9</v>
      </c>
      <c r="C99" s="810"/>
      <c r="D99" s="806" t="str">
        <f t="shared" si="8"/>
        <v xml:space="preserve">9.9 - </v>
      </c>
      <c r="E99" s="809"/>
    </row>
    <row r="100" spans="2:5" x14ac:dyDescent="0.2">
      <c r="B100" s="811" t="s">
        <v>1052</v>
      </c>
      <c r="C100" s="810"/>
      <c r="D100" s="806" t="str">
        <f t="shared" si="8"/>
        <v xml:space="preserve">9.10 - </v>
      </c>
      <c r="E100" s="809"/>
    </row>
    <row r="101" spans="2:5" x14ac:dyDescent="0.2">
      <c r="B101" s="813" t="s">
        <v>829</v>
      </c>
      <c r="C101" s="812" t="s">
        <v>1534</v>
      </c>
      <c r="E101" s="809"/>
    </row>
    <row r="102" spans="2:5" x14ac:dyDescent="0.2">
      <c r="B102" s="811">
        <v>10.1</v>
      </c>
      <c r="C102" s="810" t="s">
        <v>1375</v>
      </c>
      <c r="D102" s="806" t="str">
        <f t="shared" ref="D102:D111" si="9">CONCATENATE(B102, " - ", C102)</f>
        <v>10.1 - Roads and streets</v>
      </c>
      <c r="E102" s="809" t="s">
        <v>1617</v>
      </c>
    </row>
    <row r="103" spans="2:5" x14ac:dyDescent="0.2">
      <c r="B103" s="811">
        <v>10.199999999999999</v>
      </c>
      <c r="C103" s="810" t="s">
        <v>1534</v>
      </c>
      <c r="D103" s="806" t="str">
        <f t="shared" si="9"/>
        <v>10.2 - Transport Services</v>
      </c>
      <c r="E103" s="809" t="s">
        <v>1618</v>
      </c>
    </row>
    <row r="104" spans="2:5" x14ac:dyDescent="0.2">
      <c r="B104" s="811">
        <v>10.3</v>
      </c>
      <c r="C104" s="810" t="s">
        <v>1535</v>
      </c>
      <c r="D104" s="806" t="str">
        <f t="shared" si="9"/>
        <v>10.3 - Transport Services (Planning and Operations)</v>
      </c>
      <c r="E104" s="809" t="s">
        <v>1619</v>
      </c>
    </row>
    <row r="105" spans="2:5" x14ac:dyDescent="0.2">
      <c r="B105" s="811">
        <v>10.4</v>
      </c>
      <c r="C105" s="810" t="s">
        <v>1536</v>
      </c>
      <c r="D105" s="806" t="str">
        <f t="shared" si="9"/>
        <v>10.4 - Transport Services (Intelligent Transport and Operations)</v>
      </c>
      <c r="E105" s="809" t="s">
        <v>1620</v>
      </c>
    </row>
    <row r="106" spans="2:5" x14ac:dyDescent="0.2">
      <c r="B106" s="811">
        <v>10.5</v>
      </c>
      <c r="C106" s="810" t="s">
        <v>1537</v>
      </c>
      <c r="D106" s="806" t="str">
        <f t="shared" si="9"/>
        <v>10.5 - Transport Services (Public Transport Regulation and Moitoring)</v>
      </c>
      <c r="E106" s="809" t="s">
        <v>1621</v>
      </c>
    </row>
    <row r="107" spans="2:5" x14ac:dyDescent="0.2">
      <c r="B107" s="811">
        <v>10.6</v>
      </c>
      <c r="C107" s="810" t="s">
        <v>1538</v>
      </c>
      <c r="D107" s="806" t="str">
        <f t="shared" si="9"/>
        <v>10.6 - Roads and Stormwater (administration)</v>
      </c>
      <c r="E107" s="809" t="s">
        <v>1622</v>
      </c>
    </row>
    <row r="108" spans="2:5" x14ac:dyDescent="0.2">
      <c r="B108" s="811">
        <v>10.7</v>
      </c>
      <c r="C108" s="810" t="s">
        <v>1539</v>
      </c>
      <c r="D108" s="806" t="str">
        <f t="shared" si="9"/>
        <v>10.7 - Storm Water Management and Traffic engineering</v>
      </c>
      <c r="E108" s="809" t="s">
        <v>1623</v>
      </c>
    </row>
    <row r="109" spans="2:5" x14ac:dyDescent="0.2">
      <c r="B109" s="811">
        <v>10.8</v>
      </c>
      <c r="C109" s="810" t="s">
        <v>1540</v>
      </c>
      <c r="D109" s="806" t="str">
        <f t="shared" si="9"/>
        <v>10.8 - Roads and Stormwater (Roads and Streets)</v>
      </c>
      <c r="E109" s="809" t="s">
        <v>1624</v>
      </c>
    </row>
    <row r="110" spans="2:5" x14ac:dyDescent="0.2">
      <c r="B110" s="811">
        <v>10.9</v>
      </c>
      <c r="C110" s="810" t="s">
        <v>1541</v>
      </c>
      <c r="D110" s="806" t="str">
        <f t="shared" si="9"/>
        <v>10.9 - Roads and Stormwater (Stormwater)</v>
      </c>
      <c r="E110" s="809" t="s">
        <v>1625</v>
      </c>
    </row>
    <row r="111" spans="2:5" x14ac:dyDescent="0.2">
      <c r="B111" s="811" t="s">
        <v>1051</v>
      </c>
      <c r="C111" s="810"/>
      <c r="D111" s="806" t="str">
        <f t="shared" si="9"/>
        <v xml:space="preserve">10.10 - </v>
      </c>
      <c r="E111" s="809"/>
    </row>
    <row r="112" spans="2:5" x14ac:dyDescent="0.2">
      <c r="B112" s="813" t="s">
        <v>828</v>
      </c>
      <c r="C112" s="812" t="s">
        <v>1542</v>
      </c>
      <c r="E112" s="809"/>
    </row>
    <row r="113" spans="2:5" x14ac:dyDescent="0.2">
      <c r="B113" s="811">
        <v>11.1</v>
      </c>
      <c r="C113" s="810" t="s">
        <v>1542</v>
      </c>
      <c r="D113" s="806" t="str">
        <f t="shared" ref="D113:D122" si="10">CONCATENATE(B113, " - ", C113)</f>
        <v>11.1 - Human Settlement</v>
      </c>
      <c r="E113" s="809" t="s">
        <v>1626</v>
      </c>
    </row>
    <row r="114" spans="2:5" x14ac:dyDescent="0.2">
      <c r="B114" s="811">
        <v>11.2</v>
      </c>
      <c r="C114" s="810" t="s">
        <v>1543</v>
      </c>
      <c r="D114" s="806" t="str">
        <f t="shared" si="10"/>
        <v>11.2 - Human Settlement - Housing Adimistration</v>
      </c>
      <c r="E114" s="809" t="s">
        <v>1627</v>
      </c>
    </row>
    <row r="115" spans="2:5" x14ac:dyDescent="0.2">
      <c r="B115" s="811">
        <v>11.3</v>
      </c>
      <c r="C115" s="810" t="s">
        <v>1544</v>
      </c>
      <c r="D115" s="806" t="str">
        <f t="shared" si="10"/>
        <v>11.3 - Human Settlement Rental Hosing and Programme Implemantation</v>
      </c>
      <c r="E115" s="809" t="s">
        <v>1628</v>
      </c>
    </row>
    <row r="116" spans="2:5" x14ac:dyDescent="0.2">
      <c r="B116" s="811">
        <v>11.4</v>
      </c>
      <c r="C116" s="810"/>
      <c r="D116" s="806" t="str">
        <f t="shared" si="10"/>
        <v xml:space="preserve">11.4 - </v>
      </c>
      <c r="E116" s="809"/>
    </row>
    <row r="117" spans="2:5" x14ac:dyDescent="0.2">
      <c r="B117" s="811">
        <v>11.5</v>
      </c>
      <c r="C117" s="810"/>
      <c r="D117" s="806" t="str">
        <f t="shared" si="10"/>
        <v xml:space="preserve">11.5 - </v>
      </c>
      <c r="E117" s="809"/>
    </row>
    <row r="118" spans="2:5" x14ac:dyDescent="0.2">
      <c r="B118" s="811">
        <v>11.6</v>
      </c>
      <c r="C118" s="810"/>
      <c r="D118" s="806" t="str">
        <f t="shared" si="10"/>
        <v xml:space="preserve">11.6 - </v>
      </c>
      <c r="E118" s="809"/>
    </row>
    <row r="119" spans="2:5" x14ac:dyDescent="0.2">
      <c r="B119" s="811">
        <v>11.7</v>
      </c>
      <c r="C119" s="810"/>
      <c r="D119" s="806" t="str">
        <f t="shared" si="10"/>
        <v xml:space="preserve">11.7 - </v>
      </c>
      <c r="E119" s="809"/>
    </row>
    <row r="120" spans="2:5" x14ac:dyDescent="0.2">
      <c r="B120" s="811">
        <v>11.8</v>
      </c>
      <c r="C120" s="810"/>
      <c r="D120" s="806" t="str">
        <f t="shared" si="10"/>
        <v xml:space="preserve">11.8 - </v>
      </c>
      <c r="E120" s="809"/>
    </row>
    <row r="121" spans="2:5" x14ac:dyDescent="0.2">
      <c r="B121" s="811">
        <v>11.9</v>
      </c>
      <c r="C121" s="810"/>
      <c r="D121" s="806" t="str">
        <f t="shared" si="10"/>
        <v xml:space="preserve">11.9 - </v>
      </c>
      <c r="E121" s="809"/>
    </row>
    <row r="122" spans="2:5" x14ac:dyDescent="0.2">
      <c r="B122" s="811" t="s">
        <v>1050</v>
      </c>
      <c r="C122" s="810"/>
      <c r="D122" s="806" t="str">
        <f t="shared" si="10"/>
        <v xml:space="preserve">11.10 - </v>
      </c>
      <c r="E122" s="809"/>
    </row>
    <row r="123" spans="2:5" x14ac:dyDescent="0.2">
      <c r="B123" s="813" t="s">
        <v>827</v>
      </c>
      <c r="C123" s="812"/>
      <c r="E123" s="809"/>
    </row>
    <row r="124" spans="2:5" x14ac:dyDescent="0.2">
      <c r="B124" s="811">
        <v>12.1</v>
      </c>
      <c r="C124" s="810"/>
      <c r="D124" s="806" t="str">
        <f t="shared" ref="D124:D133" si="11">CONCATENATE(B124, " - ", C124)</f>
        <v xml:space="preserve">12.1 - </v>
      </c>
      <c r="E124" s="809" t="s">
        <v>1049</v>
      </c>
    </row>
    <row r="125" spans="2:5" x14ac:dyDescent="0.2">
      <c r="B125" s="811">
        <v>12.2</v>
      </c>
      <c r="C125" s="810"/>
      <c r="D125" s="806" t="str">
        <f t="shared" si="11"/>
        <v xml:space="preserve">12.2 - </v>
      </c>
      <c r="E125" s="809"/>
    </row>
    <row r="126" spans="2:5" x14ac:dyDescent="0.2">
      <c r="B126" s="811">
        <v>12.3</v>
      </c>
      <c r="C126" s="810"/>
      <c r="D126" s="806" t="str">
        <f t="shared" si="11"/>
        <v xml:space="preserve">12.3 - </v>
      </c>
      <c r="E126" s="809"/>
    </row>
    <row r="127" spans="2:5" x14ac:dyDescent="0.2">
      <c r="B127" s="811">
        <v>12.4</v>
      </c>
      <c r="C127" s="810"/>
      <c r="D127" s="806" t="str">
        <f t="shared" si="11"/>
        <v xml:space="preserve">12.4 - </v>
      </c>
      <c r="E127" s="809"/>
    </row>
    <row r="128" spans="2:5" x14ac:dyDescent="0.2">
      <c r="B128" s="811">
        <v>12.5</v>
      </c>
      <c r="C128" s="810"/>
      <c r="D128" s="806" t="str">
        <f t="shared" si="11"/>
        <v xml:space="preserve">12.5 - </v>
      </c>
      <c r="E128" s="809"/>
    </row>
    <row r="129" spans="2:5" x14ac:dyDescent="0.2">
      <c r="B129" s="811">
        <v>12.6</v>
      </c>
      <c r="C129" s="810"/>
      <c r="D129" s="806" t="str">
        <f t="shared" si="11"/>
        <v xml:space="preserve">12.6 - </v>
      </c>
      <c r="E129" s="809"/>
    </row>
    <row r="130" spans="2:5" x14ac:dyDescent="0.2">
      <c r="B130" s="811">
        <v>12.7</v>
      </c>
      <c r="C130" s="810"/>
      <c r="D130" s="806" t="str">
        <f t="shared" si="11"/>
        <v xml:space="preserve">12.7 - </v>
      </c>
      <c r="E130" s="809"/>
    </row>
    <row r="131" spans="2:5" x14ac:dyDescent="0.2">
      <c r="B131" s="811">
        <v>12.8</v>
      </c>
      <c r="C131" s="810"/>
      <c r="D131" s="806" t="str">
        <f t="shared" si="11"/>
        <v xml:space="preserve">12.8 - </v>
      </c>
      <c r="E131" s="809"/>
    </row>
    <row r="132" spans="2:5" x14ac:dyDescent="0.2">
      <c r="B132" s="811">
        <v>12.9</v>
      </c>
      <c r="C132" s="810"/>
      <c r="D132" s="806" t="str">
        <f t="shared" si="11"/>
        <v xml:space="preserve">12.9 - </v>
      </c>
      <c r="E132" s="809"/>
    </row>
    <row r="133" spans="2:5" x14ac:dyDescent="0.2">
      <c r="B133" s="811" t="s">
        <v>1048</v>
      </c>
      <c r="C133" s="810"/>
      <c r="D133" s="806" t="str">
        <f t="shared" si="11"/>
        <v xml:space="preserve">12.10 - </v>
      </c>
      <c r="E133" s="809"/>
    </row>
    <row r="134" spans="2:5" x14ac:dyDescent="0.2">
      <c r="B134" s="813" t="s">
        <v>826</v>
      </c>
      <c r="C134" s="812"/>
      <c r="E134" s="809"/>
    </row>
    <row r="135" spans="2:5" x14ac:dyDescent="0.2">
      <c r="B135" s="811">
        <v>13.1</v>
      </c>
      <c r="C135" s="810"/>
      <c r="D135" s="806" t="str">
        <f t="shared" ref="D135:D144" si="12">CONCATENATE(B135, " - ", C135)</f>
        <v xml:space="preserve">13.1 - </v>
      </c>
      <c r="E135" s="809" t="s">
        <v>1047</v>
      </c>
    </row>
    <row r="136" spans="2:5" x14ac:dyDescent="0.2">
      <c r="B136" s="811">
        <v>13.2</v>
      </c>
      <c r="C136" s="810"/>
      <c r="D136" s="806" t="str">
        <f t="shared" si="12"/>
        <v xml:space="preserve">13.2 - </v>
      </c>
      <c r="E136" s="809"/>
    </row>
    <row r="137" spans="2:5" x14ac:dyDescent="0.2">
      <c r="B137" s="811">
        <v>13.3</v>
      </c>
      <c r="C137" s="810"/>
      <c r="D137" s="806" t="str">
        <f t="shared" si="12"/>
        <v xml:space="preserve">13.3 - </v>
      </c>
      <c r="E137" s="809"/>
    </row>
    <row r="138" spans="2:5" x14ac:dyDescent="0.2">
      <c r="B138" s="811">
        <v>13.4</v>
      </c>
      <c r="C138" s="810"/>
      <c r="D138" s="806" t="str">
        <f t="shared" si="12"/>
        <v xml:space="preserve">13.4 - </v>
      </c>
      <c r="E138" s="809"/>
    </row>
    <row r="139" spans="2:5" x14ac:dyDescent="0.2">
      <c r="B139" s="811">
        <v>13.5</v>
      </c>
      <c r="C139" s="810"/>
      <c r="D139" s="806" t="str">
        <f t="shared" si="12"/>
        <v xml:space="preserve">13.5 - </v>
      </c>
      <c r="E139" s="809"/>
    </row>
    <row r="140" spans="2:5" x14ac:dyDescent="0.2">
      <c r="B140" s="811">
        <v>13.6</v>
      </c>
      <c r="C140" s="810"/>
      <c r="D140" s="806" t="str">
        <f t="shared" si="12"/>
        <v xml:space="preserve">13.6 - </v>
      </c>
      <c r="E140" s="809"/>
    </row>
    <row r="141" spans="2:5" x14ac:dyDescent="0.2">
      <c r="B141" s="811">
        <v>13.7</v>
      </c>
      <c r="C141" s="810"/>
      <c r="D141" s="806" t="str">
        <f t="shared" si="12"/>
        <v xml:space="preserve">13.7 - </v>
      </c>
      <c r="E141" s="809"/>
    </row>
    <row r="142" spans="2:5" x14ac:dyDescent="0.2">
      <c r="B142" s="811">
        <v>13.8</v>
      </c>
      <c r="C142" s="810"/>
      <c r="D142" s="806" t="str">
        <f t="shared" si="12"/>
        <v xml:space="preserve">13.8 - </v>
      </c>
      <c r="E142" s="809"/>
    </row>
    <row r="143" spans="2:5" x14ac:dyDescent="0.2">
      <c r="B143" s="811">
        <v>13.9</v>
      </c>
      <c r="C143" s="810"/>
      <c r="D143" s="806" t="str">
        <f t="shared" si="12"/>
        <v xml:space="preserve">13.9 - </v>
      </c>
      <c r="E143" s="809"/>
    </row>
    <row r="144" spans="2:5" x14ac:dyDescent="0.2">
      <c r="B144" s="811" t="s">
        <v>1046</v>
      </c>
      <c r="C144" s="810"/>
      <c r="D144" s="806" t="str">
        <f t="shared" si="12"/>
        <v xml:space="preserve">13.10 - </v>
      </c>
      <c r="E144" s="809"/>
    </row>
    <row r="145" spans="2:5" x14ac:dyDescent="0.2">
      <c r="B145" s="813" t="s">
        <v>825</v>
      </c>
      <c r="C145" s="812" t="s">
        <v>1045</v>
      </c>
      <c r="E145" s="809"/>
    </row>
    <row r="146" spans="2:5" x14ac:dyDescent="0.2">
      <c r="B146" s="811">
        <v>14.1</v>
      </c>
      <c r="C146" s="810" t="s">
        <v>1039</v>
      </c>
      <c r="D146" s="806" t="str">
        <f t="shared" ref="D146:D155" si="13">CONCATENATE(B146, " - ", C146)</f>
        <v>14.1 - [Name of sub-vote]</v>
      </c>
      <c r="E146" s="809" t="s">
        <v>1044</v>
      </c>
    </row>
    <row r="147" spans="2:5" x14ac:dyDescent="0.2">
      <c r="B147" s="811">
        <v>14.2</v>
      </c>
      <c r="C147" s="810" t="s">
        <v>1039</v>
      </c>
      <c r="D147" s="806" t="str">
        <f t="shared" si="13"/>
        <v>14.2 - [Name of sub-vote]</v>
      </c>
      <c r="E147" s="809"/>
    </row>
    <row r="148" spans="2:5" x14ac:dyDescent="0.2">
      <c r="B148" s="811">
        <v>14.3</v>
      </c>
      <c r="C148" s="810" t="s">
        <v>1039</v>
      </c>
      <c r="D148" s="806" t="str">
        <f t="shared" si="13"/>
        <v>14.3 - [Name of sub-vote]</v>
      </c>
      <c r="E148" s="809"/>
    </row>
    <row r="149" spans="2:5" x14ac:dyDescent="0.2">
      <c r="B149" s="811">
        <v>14.4</v>
      </c>
      <c r="C149" s="810" t="s">
        <v>1039</v>
      </c>
      <c r="D149" s="806" t="str">
        <f t="shared" si="13"/>
        <v>14.4 - [Name of sub-vote]</v>
      </c>
      <c r="E149" s="809"/>
    </row>
    <row r="150" spans="2:5" x14ac:dyDescent="0.2">
      <c r="B150" s="811">
        <v>14.5</v>
      </c>
      <c r="C150" s="810" t="s">
        <v>1039</v>
      </c>
      <c r="D150" s="806" t="str">
        <f t="shared" si="13"/>
        <v>14.5 - [Name of sub-vote]</v>
      </c>
      <c r="E150" s="809"/>
    </row>
    <row r="151" spans="2:5" x14ac:dyDescent="0.2">
      <c r="B151" s="811">
        <v>14.6</v>
      </c>
      <c r="C151" s="810" t="s">
        <v>1039</v>
      </c>
      <c r="D151" s="806" t="str">
        <f t="shared" si="13"/>
        <v>14.6 - [Name of sub-vote]</v>
      </c>
      <c r="E151" s="809"/>
    </row>
    <row r="152" spans="2:5" x14ac:dyDescent="0.2">
      <c r="B152" s="811">
        <v>14.7</v>
      </c>
      <c r="C152" s="810" t="s">
        <v>1039</v>
      </c>
      <c r="D152" s="806" t="str">
        <f t="shared" si="13"/>
        <v>14.7 - [Name of sub-vote]</v>
      </c>
      <c r="E152" s="809"/>
    </row>
    <row r="153" spans="2:5" x14ac:dyDescent="0.2">
      <c r="B153" s="811">
        <v>14.8</v>
      </c>
      <c r="C153" s="810" t="s">
        <v>1039</v>
      </c>
      <c r="D153" s="806" t="str">
        <f t="shared" si="13"/>
        <v>14.8 - [Name of sub-vote]</v>
      </c>
      <c r="E153" s="809"/>
    </row>
    <row r="154" spans="2:5" x14ac:dyDescent="0.2">
      <c r="B154" s="811">
        <v>14.9</v>
      </c>
      <c r="C154" s="810" t="s">
        <v>1039</v>
      </c>
      <c r="D154" s="806" t="str">
        <f t="shared" si="13"/>
        <v>14.9 - [Name of sub-vote]</v>
      </c>
      <c r="E154" s="809"/>
    </row>
    <row r="155" spans="2:5" x14ac:dyDescent="0.2">
      <c r="B155" s="811" t="s">
        <v>1043</v>
      </c>
      <c r="C155" s="810" t="s">
        <v>1039</v>
      </c>
      <c r="D155" s="806" t="str">
        <f t="shared" si="13"/>
        <v>14.10 - [Name of sub-vote]</v>
      </c>
      <c r="E155" s="809"/>
    </row>
    <row r="156" spans="2:5" x14ac:dyDescent="0.2">
      <c r="B156" s="813" t="s">
        <v>824</v>
      </c>
      <c r="C156" s="812" t="s">
        <v>1042</v>
      </c>
      <c r="E156" s="809"/>
    </row>
    <row r="157" spans="2:5" x14ac:dyDescent="0.2">
      <c r="B157" s="811">
        <v>15.1</v>
      </c>
      <c r="C157" s="810" t="s">
        <v>1039</v>
      </c>
      <c r="D157" s="806" t="str">
        <f t="shared" ref="D157:D166" si="14">CONCATENATE(B157, " - ", C157)</f>
        <v>15.1 - [Name of sub-vote]</v>
      </c>
      <c r="E157" s="809" t="s">
        <v>1041</v>
      </c>
    </row>
    <row r="158" spans="2:5" x14ac:dyDescent="0.2">
      <c r="B158" s="811">
        <v>15.2</v>
      </c>
      <c r="C158" s="810" t="s">
        <v>1039</v>
      </c>
      <c r="D158" s="806" t="str">
        <f t="shared" si="14"/>
        <v>15.2 - [Name of sub-vote]</v>
      </c>
      <c r="E158" s="809"/>
    </row>
    <row r="159" spans="2:5" x14ac:dyDescent="0.2">
      <c r="B159" s="811">
        <v>15.3</v>
      </c>
      <c r="C159" s="810" t="s">
        <v>1039</v>
      </c>
      <c r="D159" s="806" t="str">
        <f t="shared" si="14"/>
        <v>15.3 - [Name of sub-vote]</v>
      </c>
      <c r="E159" s="809"/>
    </row>
    <row r="160" spans="2:5" x14ac:dyDescent="0.2">
      <c r="B160" s="811">
        <v>15.4</v>
      </c>
      <c r="C160" s="810" t="s">
        <v>1039</v>
      </c>
      <c r="D160" s="806" t="str">
        <f t="shared" si="14"/>
        <v>15.4 - [Name of sub-vote]</v>
      </c>
      <c r="E160" s="809"/>
    </row>
    <row r="161" spans="2:5" x14ac:dyDescent="0.2">
      <c r="B161" s="811">
        <v>15.5</v>
      </c>
      <c r="C161" s="810" t="s">
        <v>1039</v>
      </c>
      <c r="D161" s="806" t="str">
        <f t="shared" si="14"/>
        <v>15.5 - [Name of sub-vote]</v>
      </c>
      <c r="E161" s="809"/>
    </row>
    <row r="162" spans="2:5" x14ac:dyDescent="0.2">
      <c r="B162" s="811">
        <v>15.6</v>
      </c>
      <c r="C162" s="810" t="s">
        <v>1039</v>
      </c>
      <c r="D162" s="806" t="str">
        <f t="shared" si="14"/>
        <v>15.6 - [Name of sub-vote]</v>
      </c>
      <c r="E162" s="809"/>
    </row>
    <row r="163" spans="2:5" x14ac:dyDescent="0.2">
      <c r="B163" s="811">
        <v>15.7</v>
      </c>
      <c r="C163" s="810" t="s">
        <v>1039</v>
      </c>
      <c r="D163" s="806" t="str">
        <f t="shared" si="14"/>
        <v>15.7 - [Name of sub-vote]</v>
      </c>
      <c r="E163" s="809"/>
    </row>
    <row r="164" spans="2:5" x14ac:dyDescent="0.2">
      <c r="B164" s="811">
        <v>15.8</v>
      </c>
      <c r="C164" s="810" t="s">
        <v>1039</v>
      </c>
      <c r="D164" s="806" t="str">
        <f t="shared" si="14"/>
        <v>15.8 - [Name of sub-vote]</v>
      </c>
      <c r="E164" s="809"/>
    </row>
    <row r="165" spans="2:5" x14ac:dyDescent="0.2">
      <c r="B165" s="811">
        <v>15.9</v>
      </c>
      <c r="C165" s="810" t="s">
        <v>1039</v>
      </c>
      <c r="D165" s="806" t="str">
        <f t="shared" si="14"/>
        <v>15.9 - [Name of sub-vote]</v>
      </c>
      <c r="E165" s="809"/>
    </row>
    <row r="166" spans="2:5" x14ac:dyDescent="0.2">
      <c r="B166" s="811" t="s">
        <v>1040</v>
      </c>
      <c r="C166" s="810" t="s">
        <v>1039</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D10" sqref="D10"/>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347</v>
      </c>
      <c r="B3" s="827"/>
      <c r="C3" s="824"/>
      <c r="D3" s="824"/>
    </row>
    <row r="4" spans="1:17" ht="13.5" customHeight="1" thickTop="1" x14ac:dyDescent="0.3">
      <c r="A4" s="828" t="s">
        <v>348</v>
      </c>
      <c r="B4" s="829" t="str">
        <f>muni</f>
        <v>LIM354 Polokwane</v>
      </c>
      <c r="C4" s="830" t="s">
        <v>191</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349</v>
      </c>
      <c r="B6" s="841"/>
      <c r="C6" s="842" t="s">
        <v>350</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351</v>
      </c>
      <c r="B8" s="849" t="str">
        <f>IF(B4&gt;" ",VLOOKUP(B4,'Lookup and lists'!B28:C311,2, FALSE)," ")</f>
        <v>Limpopo</v>
      </c>
      <c r="C8" s="1012"/>
      <c r="D8" s="1012"/>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352</v>
      </c>
      <c r="B10" s="957" t="s">
        <v>1381</v>
      </c>
      <c r="C10" s="854"/>
      <c r="D10" s="855"/>
      <c r="F10" s="833"/>
      <c r="G10" s="832"/>
      <c r="H10" s="833"/>
      <c r="I10" s="833"/>
      <c r="J10" s="832"/>
      <c r="K10" s="834"/>
      <c r="L10" s="834"/>
      <c r="M10" s="834"/>
      <c r="N10" s="834"/>
      <c r="O10" s="834"/>
      <c r="P10" s="835"/>
      <c r="Q10" s="836"/>
    </row>
    <row r="11" spans="1:17" ht="13.5" customHeight="1" x14ac:dyDescent="0.3">
      <c r="A11" s="856"/>
      <c r="B11" s="857"/>
      <c r="C11" s="1013"/>
      <c r="D11" s="1014"/>
      <c r="F11" s="833"/>
      <c r="G11" s="832"/>
      <c r="H11" s="833"/>
      <c r="I11" s="833"/>
      <c r="J11" s="832"/>
      <c r="K11" s="834"/>
      <c r="L11" s="834"/>
      <c r="M11" s="834"/>
      <c r="N11" s="834"/>
      <c r="O11" s="834"/>
      <c r="P11" s="835"/>
      <c r="Q11" s="839"/>
    </row>
    <row r="12" spans="1:17" ht="13.5" customHeight="1" x14ac:dyDescent="0.3">
      <c r="A12" s="853" t="s">
        <v>353</v>
      </c>
      <c r="B12" s="858"/>
      <c r="C12" s="859"/>
      <c r="D12" s="859"/>
      <c r="F12" s="833"/>
      <c r="G12" s="833"/>
      <c r="H12" s="833"/>
      <c r="I12" s="833"/>
      <c r="J12" s="832"/>
      <c r="K12" s="834"/>
      <c r="L12" s="834"/>
      <c r="M12" s="834"/>
      <c r="N12" s="834"/>
      <c r="O12" s="834"/>
      <c r="P12" s="835"/>
      <c r="Q12" s="836"/>
    </row>
    <row r="13" spans="1:17" ht="13.5" customHeight="1" x14ac:dyDescent="0.3">
      <c r="A13" s="860"/>
      <c r="B13" s="861"/>
      <c r="C13" s="1015"/>
      <c r="D13" s="1015"/>
      <c r="F13" s="833"/>
      <c r="G13" s="833"/>
      <c r="H13" s="833"/>
      <c r="I13" s="862"/>
      <c r="J13" s="833"/>
      <c r="K13" s="834"/>
      <c r="L13" s="834"/>
      <c r="M13" s="834"/>
      <c r="N13" s="834"/>
      <c r="O13" s="834"/>
      <c r="P13" s="835"/>
    </row>
    <row r="14" spans="1:17" ht="13.5" customHeight="1" thickBot="1" x14ac:dyDescent="0.35">
      <c r="A14" s="1016" t="s">
        <v>354</v>
      </c>
      <c r="B14" s="1017"/>
      <c r="C14" s="844"/>
      <c r="D14" s="844"/>
      <c r="F14" s="833"/>
      <c r="G14" s="833"/>
      <c r="H14" s="862"/>
      <c r="I14" s="863"/>
      <c r="J14" s="833"/>
      <c r="K14" s="834"/>
      <c r="L14" s="834"/>
      <c r="M14" s="834"/>
      <c r="N14" s="834"/>
      <c r="O14" s="834"/>
      <c r="P14" s="835"/>
    </row>
    <row r="15" spans="1:17" ht="13.5" customHeight="1" thickTop="1" x14ac:dyDescent="0.3">
      <c r="A15" s="864" t="s">
        <v>355</v>
      </c>
      <c r="B15" s="865"/>
      <c r="F15" s="862"/>
      <c r="G15" s="833"/>
      <c r="H15" s="863"/>
      <c r="I15" s="863"/>
      <c r="J15" s="833"/>
      <c r="K15" s="834"/>
      <c r="L15" s="834"/>
      <c r="M15" s="834"/>
      <c r="N15" s="834"/>
      <c r="O15" s="834"/>
      <c r="P15" s="835"/>
    </row>
    <row r="16" spans="1:17" s="845" customFormat="1" ht="13.5" customHeight="1" x14ac:dyDescent="0.3">
      <c r="A16" s="866" t="s">
        <v>356</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357</v>
      </c>
      <c r="B17" s="929" t="s">
        <v>1380</v>
      </c>
      <c r="F17" s="863"/>
      <c r="G17" s="863"/>
      <c r="H17" s="863"/>
      <c r="I17" s="863"/>
      <c r="J17" s="862"/>
      <c r="K17" s="834"/>
      <c r="L17" s="834"/>
      <c r="M17" s="834"/>
      <c r="N17" s="834"/>
      <c r="O17" s="834"/>
      <c r="P17" s="835"/>
    </row>
    <row r="18" spans="1:17" ht="13.5" customHeight="1" x14ac:dyDescent="0.3">
      <c r="A18" s="868" t="s">
        <v>358</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359</v>
      </c>
      <c r="B20" s="872"/>
      <c r="F20" s="863"/>
      <c r="G20" s="863"/>
      <c r="H20" s="863"/>
      <c r="I20" s="863"/>
      <c r="J20" s="863"/>
      <c r="K20" s="834"/>
      <c r="L20" s="834"/>
      <c r="M20" s="834"/>
      <c r="N20" s="834"/>
      <c r="O20" s="834"/>
      <c r="P20" s="835"/>
    </row>
    <row r="21" spans="1:17" ht="13.5" customHeight="1" x14ac:dyDescent="0.3">
      <c r="A21" s="866" t="s">
        <v>360</v>
      </c>
      <c r="B21" s="929" t="s">
        <v>1382</v>
      </c>
      <c r="F21" s="863"/>
      <c r="G21" s="863"/>
      <c r="H21" s="863"/>
      <c r="I21" s="863"/>
      <c r="J21" s="863"/>
      <c r="K21" s="834"/>
      <c r="L21" s="834"/>
      <c r="M21" s="834"/>
      <c r="N21" s="834"/>
      <c r="O21" s="834"/>
      <c r="P21" s="835"/>
    </row>
    <row r="22" spans="1:17" ht="13.5" customHeight="1" x14ac:dyDescent="0.3">
      <c r="A22" s="866" t="s">
        <v>361</v>
      </c>
      <c r="B22" s="929" t="s">
        <v>1383</v>
      </c>
      <c r="F22" s="863"/>
      <c r="G22" s="863"/>
      <c r="H22" s="863"/>
      <c r="I22" s="863"/>
      <c r="J22" s="863"/>
      <c r="K22" s="834"/>
      <c r="L22" s="834"/>
      <c r="M22" s="834"/>
      <c r="N22" s="834"/>
      <c r="O22" s="834"/>
      <c r="P22" s="835"/>
    </row>
    <row r="23" spans="1:17" ht="13.5" customHeight="1" x14ac:dyDescent="0.3">
      <c r="A23" s="866" t="s">
        <v>357</v>
      </c>
      <c r="B23" s="929" t="s">
        <v>1380</v>
      </c>
      <c r="F23" s="863"/>
      <c r="G23" s="863"/>
      <c r="H23" s="863"/>
      <c r="I23" s="863"/>
      <c r="J23" s="863"/>
      <c r="K23" s="834"/>
      <c r="L23" s="834"/>
      <c r="M23" s="834"/>
      <c r="N23" s="834"/>
      <c r="O23" s="834"/>
      <c r="P23" s="835"/>
    </row>
    <row r="24" spans="1:17" ht="13.5" customHeight="1" x14ac:dyDescent="0.3">
      <c r="A24" s="868" t="s">
        <v>358</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362</v>
      </c>
      <c r="B26" s="874"/>
      <c r="F26" s="863"/>
      <c r="G26" s="863"/>
      <c r="H26" s="863"/>
      <c r="I26" s="863"/>
      <c r="J26" s="863"/>
      <c r="K26" s="834"/>
      <c r="L26" s="834"/>
      <c r="M26" s="834"/>
      <c r="N26" s="834"/>
      <c r="O26" s="834"/>
      <c r="P26" s="835"/>
    </row>
    <row r="27" spans="1:17" ht="13.5" customHeight="1" x14ac:dyDescent="0.3">
      <c r="A27" s="866" t="s">
        <v>363</v>
      </c>
      <c r="B27" s="929" t="s">
        <v>1384</v>
      </c>
      <c r="F27" s="863"/>
      <c r="G27" s="863"/>
      <c r="H27" s="863"/>
      <c r="I27" s="863"/>
      <c r="J27" s="863"/>
      <c r="K27" s="834"/>
      <c r="L27" s="834"/>
      <c r="M27" s="834"/>
      <c r="N27" s="834"/>
      <c r="O27" s="834"/>
      <c r="P27" s="835"/>
    </row>
    <row r="28" spans="1:17" ht="13.5" customHeight="1" x14ac:dyDescent="0.3">
      <c r="A28" s="868" t="s">
        <v>364</v>
      </c>
      <c r="B28" s="875"/>
      <c r="J28" s="863"/>
      <c r="K28" s="863"/>
      <c r="L28" s="863"/>
      <c r="M28" s="863"/>
      <c r="N28" s="863"/>
      <c r="O28" s="863"/>
      <c r="P28" s="835"/>
    </row>
    <row r="29" spans="1:17" ht="13.5" customHeight="1" x14ac:dyDescent="0.3">
      <c r="A29" s="869"/>
      <c r="B29" s="876"/>
      <c r="P29" s="835"/>
    </row>
    <row r="30" spans="1:17" ht="13.5" customHeight="1" thickBot="1" x14ac:dyDescent="0.35">
      <c r="A30" s="1018" t="s">
        <v>365</v>
      </c>
      <c r="B30" s="1019"/>
      <c r="C30" s="1010"/>
      <c r="D30" s="1020"/>
      <c r="P30" s="835"/>
    </row>
    <row r="31" spans="1:17" ht="13.5" customHeight="1" thickTop="1" x14ac:dyDescent="0.3">
      <c r="A31" s="871" t="s">
        <v>366</v>
      </c>
      <c r="B31" s="872"/>
      <c r="C31" s="1000" t="s">
        <v>367</v>
      </c>
      <c r="D31" s="1006"/>
      <c r="P31" s="835"/>
    </row>
    <row r="32" spans="1:17" s="933" customFormat="1" ht="13.5" customHeight="1" x14ac:dyDescent="0.3">
      <c r="A32" s="928" t="s">
        <v>1151</v>
      </c>
      <c r="B32" s="929" t="s">
        <v>1385</v>
      </c>
      <c r="C32" s="928" t="s">
        <v>1151</v>
      </c>
      <c r="D32" s="929" t="s">
        <v>1398</v>
      </c>
      <c r="E32" s="930"/>
      <c r="F32" s="931"/>
      <c r="G32" s="931"/>
      <c r="H32" s="931"/>
      <c r="I32" s="655"/>
      <c r="J32" s="655"/>
      <c r="K32" s="655"/>
      <c r="L32" s="655"/>
      <c r="M32" s="655"/>
      <c r="N32" s="655"/>
      <c r="O32" s="655"/>
      <c r="P32" s="932"/>
      <c r="Q32" s="655"/>
    </row>
    <row r="33" spans="1:17" s="933" customFormat="1" ht="13.5" customHeight="1" x14ac:dyDescent="0.3">
      <c r="A33" s="928" t="s">
        <v>1152</v>
      </c>
      <c r="B33" s="929" t="s">
        <v>1386</v>
      </c>
      <c r="C33" s="928" t="s">
        <v>1152</v>
      </c>
      <c r="D33" s="929" t="s">
        <v>1386</v>
      </c>
      <c r="E33" s="930"/>
      <c r="F33" s="931"/>
      <c r="G33" s="931"/>
      <c r="H33" s="931"/>
      <c r="I33" s="655"/>
      <c r="J33" s="655"/>
      <c r="K33" s="655"/>
      <c r="L33" s="655"/>
      <c r="M33" s="655"/>
      <c r="N33" s="655"/>
      <c r="O33" s="655"/>
      <c r="P33" s="932"/>
      <c r="Q33" s="655"/>
    </row>
    <row r="34" spans="1:17" ht="13.5" customHeight="1" x14ac:dyDescent="0.3">
      <c r="A34" s="866" t="s">
        <v>368</v>
      </c>
      <c r="B34" s="929" t="s">
        <v>1387</v>
      </c>
      <c r="C34" s="866" t="s">
        <v>368</v>
      </c>
      <c r="D34" s="929" t="s">
        <v>1399</v>
      </c>
      <c r="P34" s="835"/>
    </row>
    <row r="35" spans="1:17" ht="13.5" customHeight="1" x14ac:dyDescent="0.3">
      <c r="A35" s="866" t="s">
        <v>363</v>
      </c>
      <c r="B35" s="929" t="s">
        <v>1388</v>
      </c>
      <c r="C35" s="866" t="s">
        <v>363</v>
      </c>
      <c r="D35" s="929" t="s">
        <v>1400</v>
      </c>
      <c r="F35" s="832"/>
      <c r="G35" s="834"/>
      <c r="P35" s="835"/>
    </row>
    <row r="36" spans="1:17" ht="13.5" customHeight="1" x14ac:dyDescent="0.3">
      <c r="A36" s="866" t="s">
        <v>369</v>
      </c>
      <c r="B36" s="929" t="s">
        <v>1389</v>
      </c>
      <c r="C36" s="866" t="s">
        <v>369</v>
      </c>
      <c r="D36" s="929" t="s">
        <v>1401</v>
      </c>
      <c r="F36" s="832"/>
      <c r="G36" s="834"/>
      <c r="P36" s="835"/>
    </row>
    <row r="37" spans="1:17" ht="13.5" customHeight="1" x14ac:dyDescent="0.3">
      <c r="A37" s="866" t="s">
        <v>364</v>
      </c>
      <c r="B37" s="929" t="s">
        <v>1390</v>
      </c>
      <c r="C37" s="866" t="s">
        <v>364</v>
      </c>
      <c r="D37" s="929" t="s">
        <v>1402</v>
      </c>
      <c r="F37" s="833"/>
      <c r="G37" s="834"/>
      <c r="P37" s="835"/>
    </row>
    <row r="38" spans="1:17" ht="13.5" customHeight="1" x14ac:dyDescent="0.3">
      <c r="A38" s="866" t="s">
        <v>370</v>
      </c>
      <c r="B38" s="929" t="s">
        <v>1391</v>
      </c>
      <c r="C38" s="866" t="s">
        <v>370</v>
      </c>
      <c r="D38" s="929" t="s">
        <v>1403</v>
      </c>
      <c r="F38" s="833"/>
      <c r="G38" s="834"/>
      <c r="P38" s="835"/>
    </row>
    <row r="39" spans="1:17" ht="13.5" customHeight="1" x14ac:dyDescent="0.3">
      <c r="A39" s="866"/>
      <c r="B39" s="877"/>
      <c r="C39" s="866"/>
      <c r="D39" s="877"/>
      <c r="F39" s="833"/>
      <c r="G39" s="834"/>
      <c r="P39" s="835"/>
    </row>
    <row r="40" spans="1:17" ht="13.5" customHeight="1" x14ac:dyDescent="0.3">
      <c r="A40" s="1002" t="s">
        <v>371</v>
      </c>
      <c r="B40" s="1007"/>
      <c r="C40" s="1002" t="s">
        <v>372</v>
      </c>
      <c r="D40" s="1007"/>
      <c r="F40" s="833"/>
      <c r="G40" s="834"/>
      <c r="P40" s="835"/>
    </row>
    <row r="41" spans="1:17" s="933" customFormat="1" ht="13.5" customHeight="1" x14ac:dyDescent="0.3">
      <c r="A41" s="928" t="s">
        <v>1151</v>
      </c>
      <c r="B41" s="929" t="s">
        <v>1392</v>
      </c>
      <c r="C41" s="928" t="s">
        <v>1151</v>
      </c>
      <c r="D41" s="929" t="s">
        <v>1404</v>
      </c>
      <c r="E41" s="930"/>
      <c r="F41" s="931"/>
      <c r="G41" s="931"/>
      <c r="H41" s="931"/>
      <c r="I41" s="655"/>
      <c r="J41" s="655"/>
      <c r="K41" s="655"/>
      <c r="L41" s="655"/>
      <c r="M41" s="655"/>
      <c r="N41" s="655"/>
      <c r="O41" s="655"/>
      <c r="P41" s="932"/>
      <c r="Q41" s="655"/>
    </row>
    <row r="42" spans="1:17" s="933" customFormat="1" ht="13.5" customHeight="1" x14ac:dyDescent="0.3">
      <c r="A42" s="928" t="s">
        <v>1152</v>
      </c>
      <c r="B42" s="929" t="s">
        <v>1393</v>
      </c>
      <c r="C42" s="928" t="s">
        <v>1152</v>
      </c>
      <c r="D42" s="929" t="s">
        <v>1393</v>
      </c>
      <c r="E42" s="930"/>
      <c r="F42" s="931"/>
      <c r="G42" s="931"/>
      <c r="H42" s="931"/>
      <c r="I42" s="655"/>
      <c r="J42" s="655"/>
      <c r="K42" s="655"/>
      <c r="L42" s="655"/>
      <c r="M42" s="655"/>
      <c r="N42" s="655"/>
      <c r="O42" s="655"/>
      <c r="P42" s="932"/>
      <c r="Q42" s="655"/>
    </row>
    <row r="43" spans="1:17" ht="13.5" customHeight="1" x14ac:dyDescent="0.3">
      <c r="A43" s="866" t="s">
        <v>368</v>
      </c>
      <c r="B43" s="929" t="s">
        <v>1394</v>
      </c>
      <c r="C43" s="866" t="s">
        <v>368</v>
      </c>
      <c r="D43" s="929" t="s">
        <v>1405</v>
      </c>
      <c r="F43" s="833"/>
      <c r="G43" s="834"/>
      <c r="P43" s="835"/>
    </row>
    <row r="44" spans="1:17" ht="13.5" customHeight="1" x14ac:dyDescent="0.3">
      <c r="A44" s="866" t="s">
        <v>363</v>
      </c>
      <c r="B44" s="929" t="s">
        <v>1395</v>
      </c>
      <c r="C44" s="866" t="s">
        <v>363</v>
      </c>
      <c r="D44" s="929" t="s">
        <v>1406</v>
      </c>
      <c r="F44" s="862"/>
      <c r="G44" s="834"/>
      <c r="P44" s="835"/>
    </row>
    <row r="45" spans="1:17" ht="13.5" customHeight="1" x14ac:dyDescent="0.3">
      <c r="A45" s="866" t="s">
        <v>369</v>
      </c>
      <c r="B45" s="929" t="s">
        <v>1396</v>
      </c>
      <c r="C45" s="866" t="s">
        <v>369</v>
      </c>
      <c r="D45" s="929" t="s">
        <v>1407</v>
      </c>
      <c r="F45" s="863"/>
      <c r="G45" s="834"/>
      <c r="P45" s="835"/>
    </row>
    <row r="46" spans="1:17" ht="13.5" customHeight="1" x14ac:dyDescent="0.3">
      <c r="A46" s="866" t="s">
        <v>364</v>
      </c>
      <c r="B46" s="929" t="s">
        <v>1390</v>
      </c>
      <c r="C46" s="866" t="s">
        <v>364</v>
      </c>
      <c r="D46" s="929" t="s">
        <v>1390</v>
      </c>
      <c r="F46" s="863"/>
      <c r="G46" s="834"/>
      <c r="P46" s="835"/>
    </row>
    <row r="47" spans="1:17" ht="13.5" customHeight="1" x14ac:dyDescent="0.3">
      <c r="A47" s="878" t="s">
        <v>370</v>
      </c>
      <c r="B47" s="958" t="s">
        <v>1397</v>
      </c>
      <c r="C47" s="878" t="s">
        <v>370</v>
      </c>
      <c r="D47" s="958" t="s">
        <v>1408</v>
      </c>
      <c r="F47" s="863"/>
      <c r="G47" s="834"/>
      <c r="P47" s="835"/>
    </row>
    <row r="48" spans="1:17" ht="13.5" customHeight="1" x14ac:dyDescent="0.3">
      <c r="A48" s="869"/>
      <c r="B48" s="876"/>
      <c r="C48" s="869"/>
      <c r="D48" s="876"/>
      <c r="F48" s="863"/>
      <c r="G48" s="834"/>
      <c r="P48" s="835"/>
    </row>
    <row r="49" spans="1:17" ht="13.5" customHeight="1" x14ac:dyDescent="0.3">
      <c r="A49" s="1002" t="s">
        <v>373</v>
      </c>
      <c r="B49" s="1007"/>
      <c r="C49" s="1002" t="s">
        <v>374</v>
      </c>
      <c r="D49" s="1007"/>
      <c r="F49" s="863"/>
      <c r="G49" s="834"/>
      <c r="P49" s="835"/>
    </row>
    <row r="50" spans="1:17" s="933" customFormat="1" ht="13.5" customHeight="1" x14ac:dyDescent="0.3">
      <c r="A50" s="928" t="s">
        <v>1151</v>
      </c>
      <c r="B50" s="929"/>
      <c r="C50" s="928" t="s">
        <v>1151</v>
      </c>
      <c r="D50" s="929"/>
      <c r="E50" s="930"/>
      <c r="F50" s="931"/>
      <c r="G50" s="931"/>
      <c r="H50" s="931"/>
      <c r="I50" s="655"/>
      <c r="J50" s="655"/>
      <c r="K50" s="655"/>
      <c r="L50" s="655"/>
      <c r="M50" s="655"/>
      <c r="N50" s="655"/>
      <c r="O50" s="655"/>
      <c r="P50" s="932"/>
      <c r="Q50" s="655"/>
    </row>
    <row r="51" spans="1:17" s="933" customFormat="1" ht="13.5" customHeight="1" x14ac:dyDescent="0.3">
      <c r="A51" s="928" t="s">
        <v>1152</v>
      </c>
      <c r="B51" s="929"/>
      <c r="C51" s="928" t="s">
        <v>1152</v>
      </c>
      <c r="D51" s="929"/>
      <c r="E51" s="930"/>
      <c r="F51" s="931"/>
      <c r="G51" s="931"/>
      <c r="H51" s="931"/>
      <c r="I51" s="655"/>
      <c r="J51" s="655"/>
      <c r="K51" s="655"/>
      <c r="L51" s="655"/>
      <c r="M51" s="655"/>
      <c r="N51" s="655"/>
      <c r="O51" s="655"/>
      <c r="P51" s="932"/>
      <c r="Q51" s="655"/>
    </row>
    <row r="52" spans="1:17" ht="13.5" customHeight="1" x14ac:dyDescent="0.3">
      <c r="A52" s="866" t="s">
        <v>368</v>
      </c>
      <c r="B52" s="867"/>
      <c r="C52" s="866" t="s">
        <v>368</v>
      </c>
      <c r="D52" s="867"/>
      <c r="F52" s="863"/>
      <c r="G52" s="834"/>
      <c r="P52" s="835"/>
    </row>
    <row r="53" spans="1:17" ht="13.5" customHeight="1" x14ac:dyDescent="0.3">
      <c r="A53" s="866" t="s">
        <v>363</v>
      </c>
      <c r="B53" s="867"/>
      <c r="C53" s="866" t="s">
        <v>363</v>
      </c>
      <c r="D53" s="867"/>
      <c r="F53" s="863"/>
      <c r="G53" s="834"/>
      <c r="P53" s="835"/>
    </row>
    <row r="54" spans="1:17" ht="13.5" customHeight="1" x14ac:dyDescent="0.3">
      <c r="A54" s="866" t="s">
        <v>369</v>
      </c>
      <c r="B54" s="867"/>
      <c r="C54" s="866" t="s">
        <v>369</v>
      </c>
      <c r="D54" s="867"/>
      <c r="F54" s="863"/>
      <c r="G54" s="834"/>
      <c r="P54" s="835"/>
    </row>
    <row r="55" spans="1:17" s="823" customFormat="1" ht="13.5" customHeight="1" x14ac:dyDescent="0.3">
      <c r="A55" s="866" t="s">
        <v>364</v>
      </c>
      <c r="B55" s="867"/>
      <c r="C55" s="866" t="s">
        <v>364</v>
      </c>
      <c r="D55" s="867"/>
      <c r="E55" s="822"/>
      <c r="F55" s="863"/>
      <c r="G55" s="834"/>
      <c r="P55" s="835"/>
    </row>
    <row r="56" spans="1:17" s="823" customFormat="1" ht="13.5" customHeight="1" x14ac:dyDescent="0.3">
      <c r="A56" s="868" t="s">
        <v>370</v>
      </c>
      <c r="B56" s="875"/>
      <c r="C56" s="868" t="s">
        <v>370</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1008" t="s">
        <v>375</v>
      </c>
      <c r="B58" s="1009"/>
      <c r="C58" s="1010"/>
      <c r="D58" s="1011"/>
      <c r="E58" s="822"/>
      <c r="F58" s="863"/>
      <c r="G58" s="834"/>
      <c r="P58" s="835"/>
    </row>
    <row r="59" spans="1:17" s="881" customFormat="1" ht="13.5" customHeight="1" thickTop="1" x14ac:dyDescent="0.3">
      <c r="A59" s="871" t="s">
        <v>376</v>
      </c>
      <c r="B59" s="872"/>
      <c r="C59" s="1000" t="s">
        <v>377</v>
      </c>
      <c r="D59" s="1001"/>
      <c r="E59" s="824"/>
      <c r="F59" s="879"/>
      <c r="G59" s="880"/>
      <c r="P59" s="835"/>
      <c r="Q59" s="823"/>
    </row>
    <row r="60" spans="1:17" s="933" customFormat="1" ht="13.5" customHeight="1" x14ac:dyDescent="0.3">
      <c r="A60" s="928" t="s">
        <v>1151</v>
      </c>
      <c r="B60" s="929" t="s">
        <v>1409</v>
      </c>
      <c r="C60" s="928" t="s">
        <v>1151</v>
      </c>
      <c r="D60" s="929" t="s">
        <v>1445</v>
      </c>
      <c r="E60" s="930"/>
      <c r="F60" s="931"/>
      <c r="G60" s="931"/>
      <c r="H60" s="931"/>
      <c r="I60" s="655"/>
      <c r="J60" s="655"/>
      <c r="K60" s="655"/>
      <c r="L60" s="655"/>
      <c r="M60" s="655"/>
      <c r="N60" s="655"/>
      <c r="O60" s="655"/>
      <c r="P60" s="932"/>
      <c r="Q60" s="655"/>
    </row>
    <row r="61" spans="1:17" s="933" customFormat="1" ht="13.5" customHeight="1" x14ac:dyDescent="0.3">
      <c r="A61" s="928" t="s">
        <v>1152</v>
      </c>
      <c r="B61" s="929" t="s">
        <v>1386</v>
      </c>
      <c r="C61" s="928" t="s">
        <v>1152</v>
      </c>
      <c r="D61" s="929" t="s">
        <v>1413</v>
      </c>
      <c r="E61" s="930"/>
      <c r="F61" s="931"/>
      <c r="G61" s="931"/>
      <c r="H61" s="931"/>
      <c r="I61" s="655"/>
      <c r="J61" s="655"/>
      <c r="K61" s="655"/>
      <c r="L61" s="655"/>
      <c r="M61" s="655"/>
      <c r="N61" s="655"/>
      <c r="O61" s="655"/>
      <c r="P61" s="932"/>
      <c r="Q61" s="655"/>
    </row>
    <row r="62" spans="1:17" s="881" customFormat="1" ht="13.5" customHeight="1" x14ac:dyDescent="0.3">
      <c r="A62" s="866" t="s">
        <v>368</v>
      </c>
      <c r="B62" s="929" t="s">
        <v>1410</v>
      </c>
      <c r="C62" s="866" t="s">
        <v>368</v>
      </c>
      <c r="D62" s="929" t="s">
        <v>1446</v>
      </c>
      <c r="E62" s="824"/>
      <c r="F62" s="879"/>
      <c r="G62" s="880"/>
      <c r="P62" s="835"/>
      <c r="Q62" s="823"/>
    </row>
    <row r="63" spans="1:17" s="823" customFormat="1" ht="13.5" customHeight="1" x14ac:dyDescent="0.3">
      <c r="A63" s="866" t="s">
        <v>363</v>
      </c>
      <c r="B63" s="929" t="s">
        <v>1395</v>
      </c>
      <c r="C63" s="866" t="s">
        <v>363</v>
      </c>
      <c r="D63" s="929" t="s">
        <v>1395</v>
      </c>
      <c r="E63" s="822"/>
      <c r="F63" s="863"/>
      <c r="G63" s="834"/>
      <c r="P63" s="835"/>
    </row>
    <row r="64" spans="1:17" s="823" customFormat="1" ht="13.5" customHeight="1" x14ac:dyDescent="0.3">
      <c r="A64" s="866" t="s">
        <v>369</v>
      </c>
      <c r="B64" s="929" t="s">
        <v>1411</v>
      </c>
      <c r="C64" s="866" t="s">
        <v>369</v>
      </c>
      <c r="D64" s="929" t="s">
        <v>1447</v>
      </c>
      <c r="E64" s="822"/>
      <c r="F64" s="863"/>
      <c r="G64" s="834"/>
      <c r="P64" s="835"/>
    </row>
    <row r="65" spans="1:17" s="823" customFormat="1" ht="13.5" customHeight="1" x14ac:dyDescent="0.3">
      <c r="A65" s="866" t="s">
        <v>364</v>
      </c>
      <c r="B65" s="929" t="s">
        <v>1390</v>
      </c>
      <c r="C65" s="866" t="s">
        <v>364</v>
      </c>
      <c r="D65" s="929" t="s">
        <v>1390</v>
      </c>
      <c r="E65" s="822"/>
      <c r="F65" s="863"/>
      <c r="G65" s="834"/>
      <c r="P65" s="835"/>
    </row>
    <row r="66" spans="1:17" ht="13.5" customHeight="1" x14ac:dyDescent="0.3">
      <c r="A66" s="868" t="s">
        <v>370</v>
      </c>
      <c r="B66" s="959" t="s">
        <v>1412</v>
      </c>
      <c r="C66" s="868" t="s">
        <v>370</v>
      </c>
      <c r="D66" s="956" t="s">
        <v>1448</v>
      </c>
      <c r="F66" s="863"/>
      <c r="G66" s="834"/>
      <c r="P66" s="835"/>
    </row>
    <row r="67" spans="1:17" ht="13.5" customHeight="1" x14ac:dyDescent="0.3">
      <c r="A67" s="869"/>
      <c r="B67" s="876"/>
      <c r="C67" s="869"/>
      <c r="D67" s="876"/>
      <c r="F67" s="863"/>
      <c r="G67" s="834"/>
      <c r="P67" s="835"/>
    </row>
    <row r="68" spans="1:17" ht="13.5" customHeight="1" x14ac:dyDescent="0.3">
      <c r="A68" s="882" t="s">
        <v>378</v>
      </c>
      <c r="B68" s="874"/>
      <c r="C68" s="1002" t="s">
        <v>379</v>
      </c>
      <c r="D68" s="1003"/>
      <c r="F68" s="863"/>
      <c r="G68" s="834"/>
      <c r="P68" s="835"/>
    </row>
    <row r="69" spans="1:17" s="933" customFormat="1" ht="13.5" customHeight="1" x14ac:dyDescent="0.3">
      <c r="A69" s="928" t="s">
        <v>1151</v>
      </c>
      <c r="B69" s="929" t="s">
        <v>1414</v>
      </c>
      <c r="C69" s="928" t="s">
        <v>1151</v>
      </c>
      <c r="D69" s="929" t="s">
        <v>1418</v>
      </c>
      <c r="E69" s="930"/>
      <c r="F69" s="931"/>
      <c r="G69" s="931"/>
      <c r="H69" s="931"/>
      <c r="I69" s="655"/>
      <c r="J69" s="655"/>
      <c r="K69" s="655"/>
      <c r="L69" s="655"/>
      <c r="M69" s="655"/>
      <c r="N69" s="655"/>
      <c r="O69" s="655"/>
      <c r="P69" s="932"/>
      <c r="Q69" s="655"/>
    </row>
    <row r="70" spans="1:17" s="933" customFormat="1" ht="13.5" customHeight="1" x14ac:dyDescent="0.3">
      <c r="A70" s="928" t="s">
        <v>1152</v>
      </c>
      <c r="B70" s="929" t="s">
        <v>1386</v>
      </c>
      <c r="C70" s="928" t="s">
        <v>1152</v>
      </c>
      <c r="D70" s="929" t="s">
        <v>1413</v>
      </c>
      <c r="E70" s="930"/>
      <c r="F70" s="931"/>
      <c r="G70" s="931"/>
      <c r="H70" s="931"/>
      <c r="I70" s="655"/>
      <c r="J70" s="655"/>
      <c r="K70" s="655"/>
      <c r="L70" s="655"/>
      <c r="M70" s="655"/>
      <c r="N70" s="655"/>
      <c r="O70" s="655"/>
      <c r="P70" s="932"/>
      <c r="Q70" s="655"/>
    </row>
    <row r="71" spans="1:17" s="883" customFormat="1" ht="13.5" customHeight="1" x14ac:dyDescent="0.3">
      <c r="A71" s="866" t="s">
        <v>368</v>
      </c>
      <c r="B71" s="929" t="s">
        <v>1435</v>
      </c>
      <c r="C71" s="866" t="s">
        <v>368</v>
      </c>
      <c r="D71" s="929" t="s">
        <v>1419</v>
      </c>
      <c r="E71" s="824"/>
      <c r="F71" s="879"/>
      <c r="G71" s="880"/>
      <c r="H71" s="881"/>
      <c r="I71" s="881"/>
      <c r="J71" s="881"/>
      <c r="K71" s="881"/>
      <c r="L71" s="881"/>
      <c r="M71" s="881"/>
      <c r="N71" s="881"/>
      <c r="O71" s="881"/>
      <c r="P71" s="835"/>
      <c r="Q71" s="823"/>
    </row>
    <row r="72" spans="1:17" ht="13.5" customHeight="1" x14ac:dyDescent="0.3">
      <c r="A72" s="866" t="s">
        <v>363</v>
      </c>
      <c r="B72" s="929" t="s">
        <v>1415</v>
      </c>
      <c r="C72" s="866" t="s">
        <v>363</v>
      </c>
      <c r="D72" s="929" t="s">
        <v>1415</v>
      </c>
      <c r="F72" s="863"/>
      <c r="G72" s="834"/>
      <c r="P72" s="835"/>
    </row>
    <row r="73" spans="1:17" ht="13.5" customHeight="1" x14ac:dyDescent="0.3">
      <c r="A73" s="866" t="s">
        <v>369</v>
      </c>
      <c r="B73" s="929" t="s">
        <v>1416</v>
      </c>
      <c r="C73" s="866" t="s">
        <v>369</v>
      </c>
      <c r="D73" s="929" t="s">
        <v>1420</v>
      </c>
      <c r="F73" s="863"/>
      <c r="G73" s="834"/>
      <c r="P73" s="835"/>
    </row>
    <row r="74" spans="1:17" ht="13.5" customHeight="1" x14ac:dyDescent="0.3">
      <c r="A74" s="866" t="s">
        <v>364</v>
      </c>
      <c r="B74" s="929" t="s">
        <v>1402</v>
      </c>
      <c r="C74" s="866" t="s">
        <v>364</v>
      </c>
      <c r="D74" s="929" t="s">
        <v>1402</v>
      </c>
      <c r="F74" s="863"/>
      <c r="G74" s="834"/>
      <c r="P74" s="835"/>
    </row>
    <row r="75" spans="1:17" ht="13.5" customHeight="1" x14ac:dyDescent="0.3">
      <c r="A75" s="868" t="s">
        <v>370</v>
      </c>
      <c r="B75" s="959" t="s">
        <v>1417</v>
      </c>
      <c r="C75" s="868" t="s">
        <v>370</v>
      </c>
      <c r="D75" s="956" t="s">
        <v>1421</v>
      </c>
      <c r="F75" s="863"/>
      <c r="G75" s="834"/>
      <c r="P75" s="835"/>
    </row>
    <row r="76" spans="1:17" ht="13.5" customHeight="1" x14ac:dyDescent="0.3">
      <c r="A76" s="869"/>
      <c r="B76" s="876"/>
      <c r="C76" s="869"/>
      <c r="D76" s="876"/>
      <c r="F76" s="863"/>
      <c r="G76" s="834"/>
      <c r="P76" s="835"/>
    </row>
    <row r="77" spans="1:17" s="933" customFormat="1" ht="13.5" customHeight="1" x14ac:dyDescent="0.3">
      <c r="A77" s="1004" t="s">
        <v>380</v>
      </c>
      <c r="B77" s="1005"/>
      <c r="C77" s="1004" t="s">
        <v>380</v>
      </c>
      <c r="D77" s="1005"/>
      <c r="E77" s="930"/>
      <c r="F77" s="934"/>
      <c r="G77" s="935"/>
      <c r="H77" s="931"/>
      <c r="I77" s="655"/>
      <c r="J77" s="655"/>
      <c r="K77" s="655"/>
      <c r="L77" s="655"/>
      <c r="M77" s="655"/>
      <c r="N77" s="655"/>
      <c r="O77" s="655"/>
      <c r="P77" s="932"/>
      <c r="Q77" s="931"/>
    </row>
    <row r="78" spans="1:17" s="933" customFormat="1" ht="13.5" customHeight="1" x14ac:dyDescent="0.3">
      <c r="A78" s="928" t="s">
        <v>1151</v>
      </c>
      <c r="B78" s="929"/>
      <c r="C78" s="928" t="s">
        <v>1151</v>
      </c>
      <c r="D78" s="929"/>
      <c r="E78" s="930"/>
      <c r="F78" s="931"/>
      <c r="G78" s="931"/>
      <c r="H78" s="931"/>
      <c r="I78" s="655"/>
      <c r="J78" s="655"/>
      <c r="K78" s="655"/>
      <c r="L78" s="655"/>
      <c r="M78" s="655"/>
      <c r="N78" s="655"/>
      <c r="O78" s="655"/>
      <c r="P78" s="932"/>
      <c r="Q78" s="655"/>
    </row>
    <row r="79" spans="1:17" s="933" customFormat="1" ht="13.5" customHeight="1" x14ac:dyDescent="0.3">
      <c r="A79" s="928" t="s">
        <v>1152</v>
      </c>
      <c r="B79" s="929"/>
      <c r="C79" s="928" t="s">
        <v>1152</v>
      </c>
      <c r="D79" s="929"/>
      <c r="E79" s="930"/>
      <c r="F79" s="931"/>
      <c r="G79" s="931"/>
      <c r="H79" s="931"/>
      <c r="I79" s="655"/>
      <c r="J79" s="655"/>
      <c r="K79" s="655"/>
      <c r="L79" s="655"/>
      <c r="M79" s="655"/>
      <c r="N79" s="655"/>
      <c r="O79" s="655"/>
      <c r="P79" s="932"/>
      <c r="Q79" s="655"/>
    </row>
    <row r="80" spans="1:17" s="941" customFormat="1" ht="13.5" customHeight="1" x14ac:dyDescent="0.3">
      <c r="A80" s="928" t="s">
        <v>368</v>
      </c>
      <c r="B80" s="929"/>
      <c r="C80" s="928" t="s">
        <v>368</v>
      </c>
      <c r="D80" s="929"/>
      <c r="E80" s="936"/>
      <c r="F80" s="937"/>
      <c r="G80" s="938"/>
      <c r="H80" s="939"/>
      <c r="I80" s="940"/>
      <c r="J80" s="940"/>
      <c r="K80" s="940"/>
      <c r="L80" s="940"/>
      <c r="M80" s="940"/>
      <c r="N80" s="940"/>
      <c r="O80" s="940"/>
      <c r="P80" s="932"/>
      <c r="Q80" s="931"/>
    </row>
    <row r="81" spans="1:17" s="933" customFormat="1" ht="13.5" customHeight="1" x14ac:dyDescent="0.3">
      <c r="A81" s="928" t="s">
        <v>363</v>
      </c>
      <c r="B81" s="929"/>
      <c r="C81" s="928" t="s">
        <v>363</v>
      </c>
      <c r="D81" s="929"/>
      <c r="E81" s="930"/>
      <c r="F81" s="934"/>
      <c r="G81" s="935"/>
      <c r="H81" s="931"/>
      <c r="I81" s="655"/>
      <c r="J81" s="655"/>
      <c r="K81" s="655"/>
      <c r="L81" s="655"/>
      <c r="M81" s="655"/>
      <c r="N81" s="655"/>
      <c r="O81" s="655"/>
      <c r="P81" s="932"/>
      <c r="Q81" s="931"/>
    </row>
    <row r="82" spans="1:17" s="933" customFormat="1" ht="13.5" customHeight="1" x14ac:dyDescent="0.3">
      <c r="A82" s="928" t="s">
        <v>369</v>
      </c>
      <c r="B82" s="929"/>
      <c r="C82" s="928" t="s">
        <v>369</v>
      </c>
      <c r="D82" s="929"/>
      <c r="E82" s="930"/>
      <c r="F82" s="934"/>
      <c r="G82" s="935"/>
      <c r="H82" s="931"/>
      <c r="I82" s="655"/>
      <c r="J82" s="655"/>
      <c r="K82" s="655"/>
      <c r="L82" s="655"/>
      <c r="M82" s="655"/>
      <c r="N82" s="655"/>
      <c r="O82" s="655"/>
      <c r="P82" s="932"/>
      <c r="Q82" s="931"/>
    </row>
    <row r="83" spans="1:17" s="933" customFormat="1" ht="13.5" customHeight="1" x14ac:dyDescent="0.3">
      <c r="A83" s="928" t="s">
        <v>364</v>
      </c>
      <c r="B83" s="929"/>
      <c r="C83" s="928" t="s">
        <v>364</v>
      </c>
      <c r="D83" s="929"/>
      <c r="E83" s="930"/>
      <c r="F83" s="934"/>
      <c r="G83" s="935"/>
      <c r="H83" s="931"/>
      <c r="I83" s="655"/>
      <c r="J83" s="655"/>
      <c r="K83" s="655"/>
      <c r="L83" s="655"/>
      <c r="M83" s="655"/>
      <c r="N83" s="655"/>
      <c r="O83" s="655"/>
      <c r="P83" s="932"/>
      <c r="Q83" s="931"/>
    </row>
    <row r="84" spans="1:17" s="933" customFormat="1" ht="13.5" customHeight="1" x14ac:dyDescent="0.3">
      <c r="A84" s="928" t="s">
        <v>370</v>
      </c>
      <c r="B84" s="929"/>
      <c r="C84" s="928" t="s">
        <v>370</v>
      </c>
      <c r="D84" s="929"/>
      <c r="E84" s="930"/>
      <c r="F84" s="934"/>
      <c r="G84" s="935"/>
      <c r="H84" s="931"/>
      <c r="I84" s="655"/>
      <c r="J84" s="655"/>
      <c r="K84" s="655"/>
      <c r="L84" s="655"/>
      <c r="M84" s="655"/>
      <c r="N84" s="655"/>
      <c r="O84" s="655"/>
      <c r="P84" s="932"/>
      <c r="Q84" s="931"/>
    </row>
    <row r="85" spans="1:17" s="933" customFormat="1" ht="13.5" customHeight="1" x14ac:dyDescent="0.3">
      <c r="A85" s="1004" t="s">
        <v>380</v>
      </c>
      <c r="B85" s="1005"/>
      <c r="C85" s="1004" t="s">
        <v>380</v>
      </c>
      <c r="D85" s="1005"/>
      <c r="E85" s="930"/>
      <c r="F85" s="934"/>
      <c r="G85" s="935"/>
      <c r="H85" s="931"/>
      <c r="I85" s="655"/>
      <c r="J85" s="655"/>
      <c r="K85" s="655"/>
      <c r="L85" s="655"/>
      <c r="M85" s="655"/>
      <c r="N85" s="655"/>
      <c r="O85" s="655"/>
      <c r="P85" s="932"/>
      <c r="Q85" s="931"/>
    </row>
    <row r="86" spans="1:17" s="933" customFormat="1" ht="13.5" customHeight="1" x14ac:dyDescent="0.3">
      <c r="A86" s="928" t="s">
        <v>1151</v>
      </c>
      <c r="B86" s="929"/>
      <c r="C86" s="928" t="s">
        <v>1151</v>
      </c>
      <c r="D86" s="929" t="s">
        <v>1422</v>
      </c>
      <c r="E86" s="930"/>
      <c r="F86" s="931"/>
      <c r="G86" s="931"/>
      <c r="H86" s="931"/>
      <c r="I86" s="655"/>
      <c r="J86" s="655"/>
      <c r="K86" s="655"/>
      <c r="L86" s="655"/>
      <c r="M86" s="655"/>
      <c r="N86" s="655"/>
      <c r="O86" s="655"/>
      <c r="P86" s="932"/>
      <c r="Q86" s="655"/>
    </row>
    <row r="87" spans="1:17" s="933" customFormat="1" ht="13.5" customHeight="1" x14ac:dyDescent="0.3">
      <c r="A87" s="928" t="s">
        <v>1152</v>
      </c>
      <c r="B87" s="929"/>
      <c r="C87" s="928" t="s">
        <v>1152</v>
      </c>
      <c r="D87" s="929" t="s">
        <v>1393</v>
      </c>
      <c r="E87" s="930"/>
      <c r="F87" s="931"/>
      <c r="G87" s="931"/>
      <c r="H87" s="931"/>
      <c r="I87" s="655"/>
      <c r="J87" s="655"/>
      <c r="K87" s="655"/>
      <c r="L87" s="655"/>
      <c r="M87" s="655"/>
      <c r="N87" s="655"/>
      <c r="O87" s="655"/>
      <c r="P87" s="932"/>
      <c r="Q87" s="655"/>
    </row>
    <row r="88" spans="1:17" s="933" customFormat="1" ht="13.5" customHeight="1" x14ac:dyDescent="0.3">
      <c r="A88" s="928" t="s">
        <v>368</v>
      </c>
      <c r="B88" s="929"/>
      <c r="C88" s="928" t="s">
        <v>368</v>
      </c>
      <c r="D88" s="929" t="s">
        <v>1423</v>
      </c>
      <c r="E88" s="930"/>
      <c r="F88" s="934"/>
      <c r="G88" s="935"/>
      <c r="H88" s="931"/>
      <c r="I88" s="655"/>
      <c r="J88" s="655"/>
      <c r="K88" s="655"/>
      <c r="L88" s="655"/>
      <c r="M88" s="655"/>
      <c r="N88" s="655"/>
      <c r="O88" s="655"/>
      <c r="P88" s="932"/>
      <c r="Q88" s="931"/>
    </row>
    <row r="89" spans="1:17" s="933" customFormat="1" ht="13.5" customHeight="1" x14ac:dyDescent="0.3">
      <c r="A89" s="928" t="s">
        <v>363</v>
      </c>
      <c r="B89" s="929"/>
      <c r="C89" s="928" t="s">
        <v>363</v>
      </c>
      <c r="D89" s="929" t="s">
        <v>1384</v>
      </c>
      <c r="E89" s="930"/>
      <c r="F89" s="934"/>
      <c r="G89" s="935"/>
      <c r="H89" s="931"/>
      <c r="I89" s="655"/>
      <c r="J89" s="655"/>
      <c r="K89" s="655"/>
      <c r="L89" s="655"/>
      <c r="M89" s="655"/>
      <c r="N89" s="655"/>
      <c r="O89" s="655"/>
      <c r="P89" s="932"/>
      <c r="Q89" s="931"/>
    </row>
    <row r="90" spans="1:17" s="931" customFormat="1" ht="13.5" customHeight="1" x14ac:dyDescent="0.3">
      <c r="A90" s="928" t="s">
        <v>369</v>
      </c>
      <c r="B90" s="929"/>
      <c r="C90" s="928" t="s">
        <v>369</v>
      </c>
      <c r="D90" s="929" t="s">
        <v>1424</v>
      </c>
      <c r="E90" s="930"/>
      <c r="F90" s="934"/>
      <c r="G90" s="935"/>
      <c r="I90" s="655"/>
      <c r="J90" s="655"/>
      <c r="K90" s="655"/>
      <c r="L90" s="655"/>
      <c r="M90" s="655"/>
      <c r="N90" s="655"/>
      <c r="O90" s="655"/>
      <c r="P90" s="932"/>
    </row>
    <row r="91" spans="1:17" s="931" customFormat="1" ht="13.5" customHeight="1" x14ac:dyDescent="0.3">
      <c r="A91" s="928" t="s">
        <v>364</v>
      </c>
      <c r="B91" s="929"/>
      <c r="C91" s="928" t="s">
        <v>364</v>
      </c>
      <c r="D91" s="929" t="s">
        <v>1402</v>
      </c>
      <c r="E91" s="930"/>
      <c r="F91" s="934"/>
      <c r="G91" s="935"/>
      <c r="I91" s="655"/>
      <c r="J91" s="655"/>
      <c r="K91" s="655"/>
      <c r="L91" s="655"/>
      <c r="M91" s="655"/>
      <c r="N91" s="655"/>
      <c r="O91" s="655"/>
      <c r="P91" s="932"/>
    </row>
    <row r="92" spans="1:17" s="931" customFormat="1" ht="13.5" customHeight="1" x14ac:dyDescent="0.3">
      <c r="A92" s="928" t="s">
        <v>370</v>
      </c>
      <c r="B92" s="929"/>
      <c r="C92" s="928" t="s">
        <v>370</v>
      </c>
      <c r="D92" s="929" t="s">
        <v>1425</v>
      </c>
      <c r="E92" s="930"/>
      <c r="F92" s="934"/>
      <c r="G92" s="935"/>
      <c r="I92" s="655"/>
      <c r="J92" s="655"/>
      <c r="K92" s="655"/>
      <c r="L92" s="655"/>
      <c r="M92" s="655"/>
      <c r="N92" s="655"/>
      <c r="O92" s="655"/>
      <c r="P92" s="932"/>
    </row>
    <row r="93" spans="1:17" s="931" customFormat="1" ht="13.5" customHeight="1" x14ac:dyDescent="0.3">
      <c r="A93" s="1004" t="s">
        <v>380</v>
      </c>
      <c r="B93" s="1005"/>
      <c r="C93" s="1004" t="s">
        <v>380</v>
      </c>
      <c r="D93" s="1005"/>
      <c r="E93" s="930"/>
      <c r="F93" s="934"/>
      <c r="G93" s="935"/>
      <c r="I93" s="655"/>
      <c r="J93" s="655"/>
      <c r="K93" s="655"/>
      <c r="L93" s="655"/>
      <c r="M93" s="655"/>
      <c r="N93" s="655"/>
      <c r="O93" s="655"/>
      <c r="P93" s="932"/>
    </row>
    <row r="94" spans="1:17" s="933" customFormat="1" ht="13.5" customHeight="1" x14ac:dyDescent="0.3">
      <c r="A94" s="928" t="s">
        <v>1151</v>
      </c>
      <c r="B94" s="929" t="s">
        <v>1426</v>
      </c>
      <c r="C94" s="928" t="s">
        <v>1151</v>
      </c>
      <c r="D94" s="929" t="s">
        <v>1430</v>
      </c>
      <c r="E94" s="930"/>
      <c r="F94" s="931"/>
      <c r="G94" s="931"/>
      <c r="H94" s="931"/>
      <c r="I94" s="655"/>
      <c r="J94" s="655"/>
      <c r="K94" s="655"/>
      <c r="L94" s="655"/>
      <c r="M94" s="655"/>
      <c r="N94" s="655"/>
      <c r="O94" s="655"/>
      <c r="P94" s="932"/>
      <c r="Q94" s="655"/>
    </row>
    <row r="95" spans="1:17" s="933" customFormat="1" ht="13.5" customHeight="1" x14ac:dyDescent="0.3">
      <c r="A95" s="928" t="s">
        <v>1152</v>
      </c>
      <c r="B95" s="929" t="s">
        <v>1393</v>
      </c>
      <c r="C95" s="928" t="s">
        <v>1152</v>
      </c>
      <c r="D95" s="929" t="s">
        <v>1386</v>
      </c>
      <c r="E95" s="930"/>
      <c r="F95" s="931"/>
      <c r="G95" s="931"/>
      <c r="H95" s="931"/>
      <c r="I95" s="655"/>
      <c r="J95" s="655"/>
      <c r="K95" s="655"/>
      <c r="L95" s="655"/>
      <c r="M95" s="655"/>
      <c r="N95" s="655"/>
      <c r="O95" s="655"/>
      <c r="P95" s="932"/>
      <c r="Q95" s="655"/>
    </row>
    <row r="96" spans="1:17" s="931" customFormat="1" ht="13.5" customHeight="1" x14ac:dyDescent="0.3">
      <c r="A96" s="928" t="s">
        <v>368</v>
      </c>
      <c r="B96" s="929" t="s">
        <v>1427</v>
      </c>
      <c r="C96" s="928" t="s">
        <v>368</v>
      </c>
      <c r="D96" s="929" t="s">
        <v>1431</v>
      </c>
      <c r="E96" s="930"/>
      <c r="F96" s="934"/>
      <c r="G96" s="935"/>
      <c r="I96" s="655"/>
      <c r="J96" s="655"/>
      <c r="K96" s="655"/>
      <c r="L96" s="655"/>
      <c r="M96" s="655"/>
      <c r="N96" s="655"/>
      <c r="O96" s="655"/>
      <c r="P96" s="932"/>
    </row>
    <row r="97" spans="1:17" s="931" customFormat="1" ht="13.5" customHeight="1" x14ac:dyDescent="0.3">
      <c r="A97" s="928" t="s">
        <v>363</v>
      </c>
      <c r="B97" s="929" t="s">
        <v>1384</v>
      </c>
      <c r="C97" s="928" t="s">
        <v>363</v>
      </c>
      <c r="D97" s="929" t="s">
        <v>1432</v>
      </c>
      <c r="E97" s="930"/>
      <c r="F97" s="934"/>
      <c r="G97" s="935"/>
      <c r="I97" s="655"/>
      <c r="J97" s="655"/>
      <c r="K97" s="655"/>
      <c r="L97" s="655"/>
      <c r="M97" s="655"/>
      <c r="N97" s="655"/>
      <c r="O97" s="655"/>
      <c r="P97" s="932"/>
    </row>
    <row r="98" spans="1:17" s="931" customFormat="1" ht="13.5" customHeight="1" x14ac:dyDescent="0.3">
      <c r="A98" s="928" t="s">
        <v>369</v>
      </c>
      <c r="B98" s="929" t="s">
        <v>1428</v>
      </c>
      <c r="C98" s="928" t="s">
        <v>369</v>
      </c>
      <c r="D98" s="929" t="s">
        <v>1433</v>
      </c>
      <c r="E98" s="930"/>
      <c r="F98" s="934"/>
      <c r="G98" s="935"/>
      <c r="I98" s="655"/>
      <c r="J98" s="655"/>
      <c r="K98" s="655"/>
      <c r="L98" s="655"/>
      <c r="M98" s="655"/>
      <c r="N98" s="655"/>
      <c r="O98" s="655"/>
      <c r="P98" s="932"/>
    </row>
    <row r="99" spans="1:17" s="931" customFormat="1" ht="13.5" customHeight="1" x14ac:dyDescent="0.3">
      <c r="A99" s="928" t="s">
        <v>364</v>
      </c>
      <c r="B99" s="929" t="s">
        <v>1402</v>
      </c>
      <c r="C99" s="928" t="s">
        <v>364</v>
      </c>
      <c r="D99" s="929" t="s">
        <v>1402</v>
      </c>
      <c r="E99" s="930"/>
      <c r="F99" s="934"/>
      <c r="G99" s="935"/>
      <c r="I99" s="655"/>
      <c r="J99" s="655"/>
      <c r="K99" s="655"/>
      <c r="L99" s="655"/>
      <c r="M99" s="655"/>
      <c r="N99" s="655"/>
      <c r="O99" s="655"/>
      <c r="P99" s="932"/>
    </row>
    <row r="100" spans="1:17" s="931" customFormat="1" ht="13.5" customHeight="1" x14ac:dyDescent="0.3">
      <c r="A100" s="928" t="s">
        <v>370</v>
      </c>
      <c r="B100" s="929" t="s">
        <v>1429</v>
      </c>
      <c r="C100" s="928" t="s">
        <v>370</v>
      </c>
      <c r="D100" s="929" t="s">
        <v>1434</v>
      </c>
      <c r="E100" s="930"/>
      <c r="F100" s="934"/>
      <c r="G100" s="935"/>
      <c r="I100" s="655"/>
      <c r="J100" s="655"/>
      <c r="K100" s="655"/>
      <c r="L100" s="655"/>
      <c r="M100" s="655"/>
      <c r="N100" s="655"/>
      <c r="O100" s="655"/>
      <c r="P100" s="932"/>
    </row>
    <row r="101" spans="1:17" s="931" customFormat="1" ht="12.75" customHeight="1" x14ac:dyDescent="0.3">
      <c r="A101" s="1004" t="s">
        <v>380</v>
      </c>
      <c r="B101" s="1005"/>
      <c r="C101" s="1004" t="s">
        <v>380</v>
      </c>
      <c r="D101" s="1005"/>
      <c r="E101" s="930"/>
      <c r="F101" s="934"/>
      <c r="G101" s="935"/>
      <c r="I101" s="655"/>
      <c r="J101" s="655"/>
      <c r="K101" s="655"/>
      <c r="L101" s="655"/>
      <c r="M101" s="655"/>
      <c r="N101" s="655"/>
      <c r="O101" s="655"/>
      <c r="P101" s="932"/>
    </row>
    <row r="102" spans="1:17" s="933" customFormat="1" ht="13.5" customHeight="1" x14ac:dyDescent="0.3">
      <c r="A102" s="928" t="s">
        <v>1151</v>
      </c>
      <c r="B102" s="929" t="s">
        <v>1449</v>
      </c>
      <c r="C102" s="928" t="s">
        <v>1151</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1152</v>
      </c>
      <c r="B103" s="929" t="s">
        <v>1413</v>
      </c>
      <c r="C103" s="928" t="s">
        <v>1152</v>
      </c>
      <c r="D103" s="929"/>
      <c r="E103" s="930"/>
      <c r="F103" s="934"/>
      <c r="G103" s="935"/>
      <c r="I103" s="655"/>
      <c r="J103" s="655"/>
      <c r="K103" s="655"/>
      <c r="L103" s="655"/>
      <c r="M103" s="655"/>
      <c r="N103" s="655"/>
      <c r="O103" s="655"/>
      <c r="P103" s="932"/>
    </row>
    <row r="104" spans="1:17" s="931" customFormat="1" ht="12.75" customHeight="1" x14ac:dyDescent="0.3">
      <c r="A104" s="928" t="s">
        <v>368</v>
      </c>
      <c r="B104" s="929" t="s">
        <v>1450</v>
      </c>
      <c r="C104" s="928" t="s">
        <v>368</v>
      </c>
      <c r="D104" s="929"/>
      <c r="E104" s="930"/>
      <c r="F104" s="934"/>
      <c r="G104" s="935"/>
      <c r="I104" s="655"/>
      <c r="J104" s="655"/>
      <c r="K104" s="655"/>
      <c r="L104" s="655"/>
      <c r="M104" s="655"/>
      <c r="N104" s="655"/>
      <c r="O104" s="655"/>
      <c r="P104" s="932"/>
    </row>
    <row r="105" spans="1:17" s="931" customFormat="1" ht="12.75" customHeight="1" x14ac:dyDescent="0.3">
      <c r="A105" s="928" t="s">
        <v>363</v>
      </c>
      <c r="B105" s="968" t="s">
        <v>1451</v>
      </c>
      <c r="C105" s="928" t="s">
        <v>363</v>
      </c>
      <c r="D105" s="929"/>
      <c r="E105" s="930"/>
      <c r="F105" s="934"/>
      <c r="G105" s="935"/>
      <c r="I105" s="655"/>
      <c r="J105" s="655"/>
      <c r="K105" s="655"/>
      <c r="L105" s="655"/>
      <c r="M105" s="655"/>
      <c r="N105" s="655"/>
      <c r="O105" s="655"/>
      <c r="P105" s="932"/>
    </row>
    <row r="106" spans="1:17" s="943" customFormat="1" ht="12.75" customHeight="1" x14ac:dyDescent="0.3">
      <c r="A106" s="928" t="s">
        <v>369</v>
      </c>
      <c r="B106" s="968" t="s">
        <v>1452</v>
      </c>
      <c r="C106" s="928" t="s">
        <v>369</v>
      </c>
      <c r="D106" s="929"/>
      <c r="E106" s="942"/>
      <c r="F106" s="934"/>
      <c r="G106" s="935"/>
      <c r="I106" s="655"/>
      <c r="J106" s="655"/>
      <c r="K106" s="655"/>
      <c r="L106" s="655"/>
      <c r="M106" s="655"/>
      <c r="N106" s="655"/>
      <c r="O106" s="655"/>
      <c r="P106" s="932"/>
      <c r="Q106" s="931"/>
    </row>
    <row r="107" spans="1:17" s="655" customFormat="1" ht="12.75" customHeight="1" x14ac:dyDescent="0.3">
      <c r="A107" s="928" t="s">
        <v>364</v>
      </c>
      <c r="B107" s="929"/>
      <c r="C107" s="928" t="s">
        <v>364</v>
      </c>
      <c r="D107" s="929"/>
      <c r="E107" s="944"/>
      <c r="F107" s="934"/>
      <c r="G107" s="935"/>
      <c r="P107" s="932"/>
      <c r="Q107" s="931"/>
    </row>
    <row r="108" spans="1:17" s="655" customFormat="1" ht="12.75" customHeight="1" x14ac:dyDescent="0.3">
      <c r="A108" s="928" t="s">
        <v>370</v>
      </c>
      <c r="B108" s="969" t="s">
        <v>1453</v>
      </c>
      <c r="C108" s="928" t="s">
        <v>370</v>
      </c>
      <c r="D108" s="929"/>
      <c r="E108" s="944"/>
      <c r="F108" s="934"/>
      <c r="G108" s="935"/>
      <c r="P108" s="932"/>
      <c r="Q108" s="931"/>
    </row>
    <row r="109" spans="1:17" s="931" customFormat="1" ht="12.75" customHeight="1" x14ac:dyDescent="0.3">
      <c r="A109" s="1004" t="s">
        <v>380</v>
      </c>
      <c r="B109" s="1005"/>
      <c r="C109" s="1004" t="s">
        <v>380</v>
      </c>
      <c r="D109" s="1005"/>
      <c r="E109" s="930"/>
      <c r="I109" s="655"/>
      <c r="J109" s="655"/>
      <c r="K109" s="655"/>
      <c r="L109" s="655"/>
      <c r="M109" s="655"/>
      <c r="N109" s="655"/>
      <c r="O109" s="655"/>
      <c r="P109" s="932"/>
    </row>
    <row r="110" spans="1:17" s="933" customFormat="1" ht="13.5" customHeight="1" x14ac:dyDescent="0.3">
      <c r="A110" s="928" t="s">
        <v>1151</v>
      </c>
      <c r="B110" s="929"/>
      <c r="C110" s="928" t="s">
        <v>1151</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1152</v>
      </c>
      <c r="B111" s="929"/>
      <c r="C111" s="928" t="s">
        <v>1152</v>
      </c>
      <c r="D111" s="929"/>
      <c r="E111" s="930"/>
      <c r="I111" s="655"/>
      <c r="J111" s="655"/>
      <c r="K111" s="655"/>
      <c r="L111" s="655"/>
      <c r="M111" s="655"/>
      <c r="N111" s="655"/>
      <c r="O111" s="655"/>
      <c r="P111" s="932"/>
    </row>
    <row r="112" spans="1:17" s="931" customFormat="1" ht="12.75" customHeight="1" x14ac:dyDescent="0.3">
      <c r="A112" s="928" t="s">
        <v>368</v>
      </c>
      <c r="B112" s="929"/>
      <c r="C112" s="928" t="s">
        <v>368</v>
      </c>
      <c r="D112" s="929"/>
      <c r="E112" s="930"/>
      <c r="I112" s="655"/>
      <c r="J112" s="655"/>
      <c r="K112" s="655"/>
      <c r="L112" s="655"/>
      <c r="M112" s="655"/>
      <c r="N112" s="655"/>
      <c r="O112" s="655"/>
      <c r="P112" s="932"/>
    </row>
    <row r="113" spans="1:25" s="931" customFormat="1" ht="12.75" customHeight="1" x14ac:dyDescent="0.3">
      <c r="A113" s="928" t="s">
        <v>363</v>
      </c>
      <c r="B113" s="929"/>
      <c r="C113" s="928" t="s">
        <v>363</v>
      </c>
      <c r="D113" s="929"/>
      <c r="E113" s="930"/>
      <c r="I113" s="655"/>
      <c r="J113" s="655"/>
      <c r="K113" s="655"/>
      <c r="L113" s="655"/>
      <c r="M113" s="655"/>
      <c r="N113" s="655"/>
      <c r="O113" s="655"/>
      <c r="P113" s="932"/>
    </row>
    <row r="114" spans="1:25" s="933" customFormat="1" ht="12.75" customHeight="1" x14ac:dyDescent="0.3">
      <c r="A114" s="928" t="s">
        <v>369</v>
      </c>
      <c r="B114" s="929"/>
      <c r="C114" s="928" t="s">
        <v>369</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364</v>
      </c>
      <c r="B115" s="929"/>
      <c r="C115" s="928" t="s">
        <v>364</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370</v>
      </c>
      <c r="B116" s="929"/>
      <c r="C116" s="928" t="s">
        <v>370</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1004" t="s">
        <v>380</v>
      </c>
      <c r="B117" s="1005"/>
      <c r="C117" s="1004" t="s">
        <v>380</v>
      </c>
      <c r="D117" s="1005"/>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1151</v>
      </c>
      <c r="B118" s="929"/>
      <c r="C118" s="928" t="s">
        <v>1151</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1152</v>
      </c>
      <c r="B119" s="929"/>
      <c r="C119" s="928" t="s">
        <v>1152</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368</v>
      </c>
      <c r="B120" s="929"/>
      <c r="C120" s="928" t="s">
        <v>368</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363</v>
      </c>
      <c r="B121" s="929"/>
      <c r="C121" s="928" t="s">
        <v>363</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369</v>
      </c>
      <c r="B122" s="929"/>
      <c r="C122" s="928" t="s">
        <v>369</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364</v>
      </c>
      <c r="B123" s="929"/>
      <c r="C123" s="928" t="s">
        <v>364</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370</v>
      </c>
      <c r="B124" s="929"/>
      <c r="C124" s="928" t="s">
        <v>370</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1004" t="s">
        <v>380</v>
      </c>
      <c r="B125" s="1005"/>
      <c r="C125" s="1004" t="s">
        <v>380</v>
      </c>
      <c r="D125" s="1005"/>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1151</v>
      </c>
      <c r="B126" s="929"/>
      <c r="C126" s="928" t="s">
        <v>1151</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1152</v>
      </c>
      <c r="B127" s="929"/>
      <c r="C127" s="928" t="s">
        <v>1152</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368</v>
      </c>
      <c r="B128" s="929"/>
      <c r="C128" s="928" t="s">
        <v>368</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363</v>
      </c>
      <c r="B129" s="929"/>
      <c r="C129" s="928" t="s">
        <v>363</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369</v>
      </c>
      <c r="B130" s="929"/>
      <c r="C130" s="928" t="s">
        <v>369</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364</v>
      </c>
      <c r="B131" s="929"/>
      <c r="C131" s="928" t="s">
        <v>364</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370</v>
      </c>
      <c r="B132" s="929"/>
      <c r="C132" s="928" t="s">
        <v>370</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1004" t="s">
        <v>380</v>
      </c>
      <c r="B133" s="1005"/>
      <c r="C133" s="1021"/>
      <c r="D133" s="1022"/>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1151</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1152</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368</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363</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369</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364</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370</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9"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8" activePane="bottomRight" state="frozen"/>
      <selection pane="topRight"/>
      <selection pane="bottomLeft"/>
      <selection pane="bottomRight" activeCell="B6" sqref="B6:J5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M05 November</v>
      </c>
      <c r="B1" s="349"/>
      <c r="C1" s="349"/>
      <c r="D1" s="349"/>
      <c r="E1" s="349"/>
      <c r="F1" s="349"/>
      <c r="G1" s="349"/>
      <c r="H1" s="349"/>
      <c r="I1" s="349"/>
      <c r="J1" s="349"/>
    </row>
    <row r="2" spans="1:10" x14ac:dyDescent="0.2">
      <c r="A2" s="1024" t="str">
        <f>desc</f>
        <v>Description</v>
      </c>
      <c r="B2" s="159" t="str">
        <f>Head1</f>
        <v>2018/19</v>
      </c>
      <c r="C2" s="1026" t="str">
        <f>Head2</f>
        <v>Budget Year 2019/20</v>
      </c>
      <c r="D2" s="1027"/>
      <c r="E2" s="1027"/>
      <c r="F2" s="1027"/>
      <c r="G2" s="1027"/>
      <c r="H2" s="1027"/>
      <c r="I2" s="1027"/>
      <c r="J2" s="1028"/>
    </row>
    <row r="3" spans="1:10" ht="20.399999999999999" x14ac:dyDescent="0.2">
      <c r="A3" s="1025"/>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687</v>
      </c>
      <c r="B4" s="19"/>
      <c r="C4" s="223"/>
      <c r="D4" s="83"/>
      <c r="E4" s="83"/>
      <c r="F4" s="83"/>
      <c r="G4" s="83"/>
      <c r="H4" s="83"/>
      <c r="I4" s="243" t="s">
        <v>594</v>
      </c>
      <c r="J4" s="224"/>
    </row>
    <row r="5" spans="1:10" ht="12.75" customHeight="1" x14ac:dyDescent="0.2">
      <c r="A5" s="156" t="s">
        <v>770</v>
      </c>
      <c r="B5" s="173"/>
      <c r="C5" s="192"/>
      <c r="D5" s="193"/>
      <c r="E5" s="193"/>
      <c r="F5" s="193"/>
      <c r="G5" s="193"/>
      <c r="H5" s="193"/>
      <c r="I5" s="201"/>
      <c r="J5" s="194"/>
    </row>
    <row r="6" spans="1:10" ht="12.75" customHeight="1" x14ac:dyDescent="0.2">
      <c r="A6" s="153" t="s">
        <v>961</v>
      </c>
      <c r="B6" s="657">
        <f>SUM('C4-FinPerf RE'!C6:C6)</f>
        <v>418004801.01999998</v>
      </c>
      <c r="C6" s="658">
        <f>SUM('C4-FinPerf RE'!D6:D6)</f>
        <v>480000000</v>
      </c>
      <c r="D6" s="411">
        <f>SUM('C4-FinPerf RE'!E6:E6)</f>
        <v>480000000</v>
      </c>
      <c r="E6" s="411">
        <f>SUM('C4-FinPerf RE'!F6:F6)</f>
        <v>42997360.259999998</v>
      </c>
      <c r="F6" s="411">
        <f>SUM('C4-FinPerf RE'!G6:G6)</f>
        <v>211993220.47</v>
      </c>
      <c r="G6" s="659">
        <f>SUM('C4-FinPerf RE'!H6:H6)</f>
        <v>200000000</v>
      </c>
      <c r="H6" s="411">
        <f>F6-G6</f>
        <v>11993220.469999999</v>
      </c>
      <c r="I6" s="600">
        <f>IF(H6=0,"",H6/G6)</f>
        <v>5.9966102349999995E-2</v>
      </c>
      <c r="J6" s="651">
        <f>SUM('C4-FinPerf RE'!K6:K6)</f>
        <v>480000000</v>
      </c>
    </row>
    <row r="7" spans="1:10" ht="12.75" customHeight="1" x14ac:dyDescent="0.2">
      <c r="A7" s="153" t="s">
        <v>992</v>
      </c>
      <c r="B7" s="657">
        <f>SUM('C4-FinPerf RE'!C7:C11)</f>
        <v>1405749530</v>
      </c>
      <c r="C7" s="658">
        <f>SUM('C4-FinPerf RE'!D7:D11)</f>
        <v>1766071008</v>
      </c>
      <c r="D7" s="411">
        <f>SUM('C4-FinPerf RE'!E7:E11)</f>
        <v>1766071008</v>
      </c>
      <c r="E7" s="411">
        <f>SUM('C4-FinPerf RE'!F7:F11)</f>
        <v>113445986.62000002</v>
      </c>
      <c r="F7" s="411">
        <f>SUM('C4-FinPerf RE'!G7:G11)</f>
        <v>639401168.02999997</v>
      </c>
      <c r="G7" s="659">
        <f>SUM('C4-FinPerf RE'!H7:H11)</f>
        <v>735862920</v>
      </c>
      <c r="H7" s="411">
        <f>F7-G7</f>
        <v>-96461751.970000029</v>
      </c>
      <c r="I7" s="208">
        <f>IF(H7=0,"",H7/G7)</f>
        <v>-0.13108657787784717</v>
      </c>
      <c r="J7" s="651">
        <f>SUM('C4-FinPerf RE'!K7:K11)</f>
        <v>1766071008</v>
      </c>
    </row>
    <row r="8" spans="1:10" ht="12.75" customHeight="1" x14ac:dyDescent="0.2">
      <c r="A8" s="153" t="s">
        <v>509</v>
      </c>
      <c r="B8" s="657">
        <f>'C4-FinPerf RE'!C13</f>
        <v>13123882</v>
      </c>
      <c r="C8" s="658">
        <f>'C4-FinPerf RE'!D13</f>
        <v>28917996</v>
      </c>
      <c r="D8" s="411">
        <f>'C4-FinPerf RE'!E13</f>
        <v>28917996</v>
      </c>
      <c r="E8" s="411">
        <f>'C4-FinPerf RE'!F13</f>
        <v>1061679.7</v>
      </c>
      <c r="F8" s="411">
        <f>'C4-FinPerf RE'!G13</f>
        <v>6514776.0600000005</v>
      </c>
      <c r="G8" s="659">
        <f>'C4-FinPerf RE'!H13</f>
        <v>12049165</v>
      </c>
      <c r="H8" s="411">
        <f>F8-G8</f>
        <v>-5534388.9399999995</v>
      </c>
      <c r="I8" s="208">
        <f>IF(H8=0,"",H8/G8)</f>
        <v>-0.45931721741714049</v>
      </c>
      <c r="J8" s="651">
        <f>'C4-FinPerf RE'!K13</f>
        <v>28917996</v>
      </c>
    </row>
    <row r="9" spans="1:10" ht="12.75" customHeight="1" x14ac:dyDescent="0.2">
      <c r="A9" s="153" t="s">
        <v>1154</v>
      </c>
      <c r="B9" s="657">
        <f>'C4-FinPerf RE'!C19</f>
        <v>951365113</v>
      </c>
      <c r="C9" s="658">
        <f>'C4-FinPerf RE'!D19</f>
        <v>1039367004</v>
      </c>
      <c r="D9" s="411">
        <f>'C4-FinPerf RE'!E19</f>
        <v>1039367004</v>
      </c>
      <c r="E9" s="411">
        <f>'C4-FinPerf RE'!F19</f>
        <v>10495686.24</v>
      </c>
      <c r="F9" s="411">
        <f>'C4-FinPerf RE'!G19</f>
        <v>418367079.45999998</v>
      </c>
      <c r="G9" s="659">
        <f>'C4-FinPerf RE'!H19</f>
        <v>433069585</v>
      </c>
      <c r="H9" s="411">
        <f>F9-G9</f>
        <v>-14702505.540000021</v>
      </c>
      <c r="I9" s="208">
        <f>IF(H9=0,"",H9/G9)</f>
        <v>-3.3949522315218743E-2</v>
      </c>
      <c r="J9" s="651">
        <f>'C4-FinPerf RE'!K19</f>
        <v>1039367004</v>
      </c>
    </row>
    <row r="10" spans="1:10" ht="12.75" customHeight="1" x14ac:dyDescent="0.2">
      <c r="A10" s="233" t="s">
        <v>507</v>
      </c>
      <c r="B10" s="660">
        <f>'C4-FinPerf RE'!C12+'C4-FinPerf RE'!C14+'C4-FinPerf RE'!C15+'C4-FinPerf RE'!C16+'C4-FinPerf RE'!C17+'C4-FinPerf RE'!C18+'C4-FinPerf RE'!C20+'C4-FinPerf RE'!C21</f>
        <v>170977292</v>
      </c>
      <c r="C10" s="661">
        <f>'C4-FinPerf RE'!D12+'C4-FinPerf RE'!D14+'C4-FinPerf RE'!D15+'C4-FinPerf RE'!D16+'C4-FinPerf RE'!D17+'C4-FinPerf RE'!D18+'C4-FinPerf RE'!D20+'C4-FinPerf RE'!D21</f>
        <v>481431624</v>
      </c>
      <c r="D10" s="412">
        <f>'C4-FinPerf RE'!E12+'C4-FinPerf RE'!E14+'C4-FinPerf RE'!E15+'C4-FinPerf RE'!E16+'C4-FinPerf RE'!E17+'C4-FinPerf RE'!E18+'C4-FinPerf RE'!E20+'C4-FinPerf RE'!E21</f>
        <v>481431624</v>
      </c>
      <c r="E10" s="412">
        <f>'C4-FinPerf RE'!F12+'C4-FinPerf RE'!F14+'C4-FinPerf RE'!F15+'C4-FinPerf RE'!F16+'C4-FinPerf RE'!F17+'C4-FinPerf RE'!F18+'C4-FinPerf RE'!F20+'C4-FinPerf RE'!F21</f>
        <v>25766594.309999999</v>
      </c>
      <c r="F10" s="412">
        <f>'C4-FinPerf RE'!G12+'C4-FinPerf RE'!G14+'C4-FinPerf RE'!G15+'C4-FinPerf RE'!G16+'C4-FinPerf RE'!G17+'C4-FinPerf RE'!G18+'C4-FinPerf RE'!G20+'C4-FinPerf RE'!G21</f>
        <v>115523415.49000001</v>
      </c>
      <c r="G10" s="662">
        <f>'C4-FinPerf RE'!H12+'C4-FinPerf RE'!H14+'C4-FinPerf RE'!H15+'C4-FinPerf RE'!H16+'C4-FinPerf RE'!H17+'C4-FinPerf RE'!H18+'C4-FinPerf RE'!H20+'C4-FinPerf RE'!H21</f>
        <v>200596510</v>
      </c>
      <c r="H10" s="412">
        <f>F10-G10</f>
        <v>-85073094.50999999</v>
      </c>
      <c r="I10" s="209">
        <f>IF(H10=0,"",H10/G10)</f>
        <v>-0.42410057139079832</v>
      </c>
      <c r="J10" s="663">
        <f>'C4-FinPerf RE'!K12+'C4-FinPerf RE'!K14+'C4-FinPerf RE'!K15+'C4-FinPerf RE'!K16+'C4-FinPerf RE'!K17+'C4-FinPerf RE'!K18+'C4-FinPerf RE'!K20+'C4-FinPerf RE'!K21</f>
        <v>481431624</v>
      </c>
    </row>
    <row r="11" spans="1:10" ht="23.25" customHeight="1" x14ac:dyDescent="0.2">
      <c r="A11" s="591" t="s">
        <v>140</v>
      </c>
      <c r="B11" s="664">
        <f t="shared" ref="B11:J11" si="0">SUM(B6:B10)</f>
        <v>2959220618.02</v>
      </c>
      <c r="C11" s="665">
        <f t="shared" si="0"/>
        <v>3795787632</v>
      </c>
      <c r="D11" s="666">
        <f t="shared" si="0"/>
        <v>3795787632</v>
      </c>
      <c r="E11" s="666">
        <f t="shared" si="0"/>
        <v>193767307.13000003</v>
      </c>
      <c r="F11" s="666">
        <f t="shared" si="0"/>
        <v>1391799659.51</v>
      </c>
      <c r="G11" s="667">
        <f t="shared" si="0"/>
        <v>1581578180</v>
      </c>
      <c r="H11" s="666">
        <f t="shared" ref="H11:H25" si="1">F11-G11</f>
        <v>-189778520.49000001</v>
      </c>
      <c r="I11" s="602">
        <f t="shared" ref="I11:I25" si="2">IF(H11=0,"",H11/G11)</f>
        <v>-0.11999313273909736</v>
      </c>
      <c r="J11" s="668">
        <f t="shared" si="0"/>
        <v>3795787632</v>
      </c>
    </row>
    <row r="12" spans="1:10" ht="12.75" customHeight="1" x14ac:dyDescent="0.2">
      <c r="A12" s="153" t="s">
        <v>487</v>
      </c>
      <c r="B12" s="657">
        <f>'C4-FinPerf RE'!C25</f>
        <v>854297099</v>
      </c>
      <c r="C12" s="658">
        <f>'C4-FinPerf RE'!D25</f>
        <v>921191480</v>
      </c>
      <c r="D12" s="411">
        <f>'C4-FinPerf RE'!E25</f>
        <v>921762604</v>
      </c>
      <c r="E12" s="411">
        <f>'C4-FinPerf RE'!F25</f>
        <v>69988557.760000065</v>
      </c>
      <c r="F12" s="411">
        <f>'C4-FinPerf RE'!G25</f>
        <v>358141099.04999995</v>
      </c>
      <c r="G12" s="659">
        <f>'C4-FinPerf RE'!H25</f>
        <v>384067751.66666663</v>
      </c>
      <c r="H12" s="411">
        <f t="shared" si="1"/>
        <v>-25926652.616666675</v>
      </c>
      <c r="I12" s="208">
        <f t="shared" si="2"/>
        <v>-6.7505414094668592E-2</v>
      </c>
      <c r="J12" s="651">
        <f>'C4-FinPerf RE'!K25</f>
        <v>921762604</v>
      </c>
    </row>
    <row r="13" spans="1:10" ht="12.75" customHeight="1" x14ac:dyDescent="0.2">
      <c r="A13" s="153" t="s">
        <v>867</v>
      </c>
      <c r="B13" s="657">
        <f>'C4-FinPerf RE'!C26</f>
        <v>37953706.430000007</v>
      </c>
      <c r="C13" s="658">
        <f>'C4-FinPerf RE'!D26</f>
        <v>40099968</v>
      </c>
      <c r="D13" s="411">
        <f>'C4-FinPerf RE'!E26</f>
        <v>40099968</v>
      </c>
      <c r="E13" s="411">
        <f>'C4-FinPerf RE'!F26</f>
        <v>3232173.23</v>
      </c>
      <c r="F13" s="411">
        <f>'C4-FinPerf RE'!G26</f>
        <v>15851830.75</v>
      </c>
      <c r="G13" s="659">
        <f>'C4-FinPerf RE'!H26</f>
        <v>16708320</v>
      </c>
      <c r="H13" s="411">
        <f t="shared" si="1"/>
        <v>-856489.25</v>
      </c>
      <c r="I13" s="208">
        <f t="shared" si="2"/>
        <v>-5.1261242901739973E-2</v>
      </c>
      <c r="J13" s="651">
        <f>'C4-FinPerf RE'!K26</f>
        <v>40099968</v>
      </c>
    </row>
    <row r="14" spans="1:10" ht="12.75" customHeight="1" x14ac:dyDescent="0.2">
      <c r="A14" s="590" t="s">
        <v>684</v>
      </c>
      <c r="B14" s="657">
        <f>'C4-FinPerf RE'!C28</f>
        <v>729667597.54999995</v>
      </c>
      <c r="C14" s="658">
        <f>'C4-FinPerf RE'!D28</f>
        <v>236999988</v>
      </c>
      <c r="D14" s="411">
        <f>'C4-FinPerf RE'!E28</f>
        <v>237000000</v>
      </c>
      <c r="E14" s="411">
        <f>'C4-FinPerf RE'!F28</f>
        <v>19749999</v>
      </c>
      <c r="F14" s="411">
        <f>'C4-FinPerf RE'!G28</f>
        <v>98750000</v>
      </c>
      <c r="G14" s="659">
        <f>'C4-FinPerf RE'!H28</f>
        <v>98750000</v>
      </c>
      <c r="H14" s="411">
        <f t="shared" si="1"/>
        <v>0</v>
      </c>
      <c r="I14" s="208" t="str">
        <f t="shared" si="2"/>
        <v/>
      </c>
      <c r="J14" s="651">
        <f>'C4-FinPerf RE'!K28</f>
        <v>237000000</v>
      </c>
    </row>
    <row r="15" spans="1:10" ht="12.75" customHeight="1" x14ac:dyDescent="0.2">
      <c r="A15" s="153" t="s">
        <v>462</v>
      </c>
      <c r="B15" s="657">
        <f>'C4-FinPerf RE'!C29</f>
        <v>62780466.380000003</v>
      </c>
      <c r="C15" s="658">
        <f>'C4-FinPerf RE'!D29</f>
        <v>85122000</v>
      </c>
      <c r="D15" s="411">
        <f>'C4-FinPerf RE'!E29</f>
        <v>85122000</v>
      </c>
      <c r="E15" s="411">
        <f>'C4-FinPerf RE'!F29</f>
        <v>0</v>
      </c>
      <c r="F15" s="411">
        <f>'C4-FinPerf RE'!G29</f>
        <v>32464062.57</v>
      </c>
      <c r="G15" s="659">
        <f>'C4-FinPerf RE'!H29</f>
        <v>35467500</v>
      </c>
      <c r="H15" s="411">
        <f t="shared" si="1"/>
        <v>-3003437.4299999997</v>
      </c>
      <c r="I15" s="208">
        <f t="shared" si="2"/>
        <v>-8.4681396489744126E-2</v>
      </c>
      <c r="J15" s="651">
        <f>'C4-FinPerf RE'!K29</f>
        <v>85122000</v>
      </c>
    </row>
    <row r="16" spans="1:10" ht="12.75" customHeight="1" x14ac:dyDescent="0.2">
      <c r="A16" s="153" t="s">
        <v>508</v>
      </c>
      <c r="B16" s="657">
        <f>SUM('C4-FinPerf RE'!C30:C31)</f>
        <v>890309729.64999998</v>
      </c>
      <c r="C16" s="658">
        <f>SUM('C4-FinPerf RE'!D30:D31)</f>
        <v>1054135932</v>
      </c>
      <c r="D16" s="411">
        <f>SUM('C4-FinPerf RE'!E30:E31)</f>
        <v>1019858932</v>
      </c>
      <c r="E16" s="411">
        <f>SUM('C4-FinPerf RE'!F30:F31)</f>
        <v>75504041.679999992</v>
      </c>
      <c r="F16" s="411">
        <f>SUM('C4-FinPerf RE'!G30:G31)</f>
        <v>447822373.89000005</v>
      </c>
      <c r="G16" s="659">
        <f>SUM('C4-FinPerf RE'!H30:H31)</f>
        <v>424941221.66666663</v>
      </c>
      <c r="H16" s="411">
        <f t="shared" si="1"/>
        <v>22881152.223333418</v>
      </c>
      <c r="I16" s="600">
        <f t="shared" si="2"/>
        <v>5.384545216298621E-2</v>
      </c>
      <c r="J16" s="651">
        <f>SUM('C4-FinPerf RE'!K30:K31)</f>
        <v>1019858932</v>
      </c>
    </row>
    <row r="17" spans="1:11" ht="12.75" customHeight="1" x14ac:dyDescent="0.2">
      <c r="A17" s="153" t="s">
        <v>1154</v>
      </c>
      <c r="B17" s="657">
        <f>'C4-FinPerf RE'!C33</f>
        <v>8420000</v>
      </c>
      <c r="C17" s="658">
        <f>'C4-FinPerf RE'!D33</f>
        <v>11500008</v>
      </c>
      <c r="D17" s="411">
        <f>'C4-FinPerf RE'!E33</f>
        <v>11500008</v>
      </c>
      <c r="E17" s="411">
        <f>'C4-FinPerf RE'!F33</f>
        <v>580000</v>
      </c>
      <c r="F17" s="411">
        <f>'C4-FinPerf RE'!G33</f>
        <v>2940000</v>
      </c>
      <c r="G17" s="659">
        <f>'C4-FinPerf RE'!H33</f>
        <v>4791670</v>
      </c>
      <c r="H17" s="411">
        <f t="shared" si="1"/>
        <v>-1851670</v>
      </c>
      <c r="I17" s="208">
        <f t="shared" si="2"/>
        <v>-0.38643520943637605</v>
      </c>
      <c r="J17" s="651">
        <f>'C4-FinPerf RE'!K33</f>
        <v>11500008</v>
      </c>
    </row>
    <row r="18" spans="1:11" ht="12.75" customHeight="1" x14ac:dyDescent="0.2">
      <c r="A18" s="153" t="s">
        <v>443</v>
      </c>
      <c r="B18" s="657">
        <f>'C4-FinPerf RE'!C36-SUM('C1-Sum'!B12:B17)</f>
        <v>1205860462.27</v>
      </c>
      <c r="C18" s="658">
        <f>'C4-FinPerf RE'!D36-SUM('C1-Sum'!C12:C17)</f>
        <v>1200881140</v>
      </c>
      <c r="D18" s="411">
        <f>'C4-FinPerf RE'!E36-SUM('C1-Sum'!D12:D17)</f>
        <v>1232361000</v>
      </c>
      <c r="E18" s="411">
        <f>'C4-FinPerf RE'!F36-SUM('C1-Sum'!E12:E17)</f>
        <v>99165688.639999986</v>
      </c>
      <c r="F18" s="411">
        <f>'C4-FinPerf RE'!G36-SUM('C1-Sum'!F12:F17)</f>
        <v>421629431.20000005</v>
      </c>
      <c r="G18" s="659">
        <f>'C4-FinPerf RE'!H36-SUM('C1-Sum'!G12:G17)</f>
        <v>513483750</v>
      </c>
      <c r="H18" s="411">
        <f t="shared" si="1"/>
        <v>-91854318.799999952</v>
      </c>
      <c r="I18" s="208">
        <f t="shared" si="2"/>
        <v>-0.17888456801213271</v>
      </c>
      <c r="J18" s="651">
        <f>'C4-FinPerf RE'!K36-SUM('C1-Sum'!J12:J17)</f>
        <v>1232361000</v>
      </c>
    </row>
    <row r="19" spans="1:11" ht="12.75" customHeight="1" x14ac:dyDescent="0.2">
      <c r="A19" s="592" t="s">
        <v>501</v>
      </c>
      <c r="B19" s="669">
        <f t="shared" ref="B19:G19" si="3">SUM(B12:B18)</f>
        <v>3789289061.2800002</v>
      </c>
      <c r="C19" s="670">
        <f t="shared" si="3"/>
        <v>3549930516</v>
      </c>
      <c r="D19" s="671">
        <f t="shared" si="3"/>
        <v>3547704512</v>
      </c>
      <c r="E19" s="671">
        <f t="shared" si="3"/>
        <v>268220460.31000006</v>
      </c>
      <c r="F19" s="671">
        <f t="shared" si="3"/>
        <v>1377598797.46</v>
      </c>
      <c r="G19" s="672">
        <f t="shared" si="3"/>
        <v>1478210213.3333333</v>
      </c>
      <c r="H19" s="671">
        <f t="shared" si="1"/>
        <v>-100611415.87333322</v>
      </c>
      <c r="I19" s="385">
        <f t="shared" si="2"/>
        <v>-6.8062996024399372E-2</v>
      </c>
      <c r="J19" s="673">
        <f>SUM(J12:J18)</f>
        <v>3547704512</v>
      </c>
    </row>
    <row r="20" spans="1:11" ht="12.75" customHeight="1" x14ac:dyDescent="0.2">
      <c r="A20" s="154" t="s">
        <v>502</v>
      </c>
      <c r="B20" s="674">
        <f t="shared" ref="B20:G20" si="4">B11-B19</f>
        <v>-830068443.26000023</v>
      </c>
      <c r="C20" s="675">
        <f t="shared" si="4"/>
        <v>245857116</v>
      </c>
      <c r="D20" s="646">
        <f t="shared" si="4"/>
        <v>248083120</v>
      </c>
      <c r="E20" s="646">
        <f t="shared" si="4"/>
        <v>-74453153.180000037</v>
      </c>
      <c r="F20" s="646">
        <f t="shared" si="4"/>
        <v>14200862.049999952</v>
      </c>
      <c r="G20" s="676">
        <f t="shared" si="4"/>
        <v>103367966.66666675</v>
      </c>
      <c r="H20" s="646">
        <f t="shared" si="1"/>
        <v>-89167104.616666794</v>
      </c>
      <c r="I20" s="207">
        <f t="shared" si="2"/>
        <v>-0.86261834775376955</v>
      </c>
      <c r="J20" s="650">
        <f>J11-J19</f>
        <v>248083120</v>
      </c>
    </row>
    <row r="21" spans="1:11" ht="12.75" customHeight="1" x14ac:dyDescent="0.2">
      <c r="A21" s="153" t="str">
        <f>'C4-FinPerf RE'!A39</f>
        <v>Transfers and subsidies - capital (monetary allocations) (National / Provincial and District)</v>
      </c>
      <c r="B21" s="657">
        <f>'C4-FinPerf RE'!C39</f>
        <v>1086422713</v>
      </c>
      <c r="C21" s="658">
        <f>'C4-FinPerf RE'!D39</f>
        <v>1267135992</v>
      </c>
      <c r="D21" s="411">
        <f>'C4-FinPerf RE'!E39</f>
        <v>1267135992</v>
      </c>
      <c r="E21" s="411">
        <f>'C4-FinPerf RE'!F39</f>
        <v>109172713.91</v>
      </c>
      <c r="F21" s="411">
        <f>'C4-FinPerf RE'!G39</f>
        <v>344348012.64999998</v>
      </c>
      <c r="G21" s="659">
        <f>'C4-FinPerf RE'!H39</f>
        <v>527973330</v>
      </c>
      <c r="H21" s="411">
        <f t="shared" si="1"/>
        <v>-183625317.35000002</v>
      </c>
      <c r="I21" s="208">
        <f t="shared" si="2"/>
        <v>-0.34779278974186068</v>
      </c>
      <c r="J21" s="651">
        <f>'C4-FinPerf RE'!K39</f>
        <v>1267135992</v>
      </c>
    </row>
    <row r="22" spans="1:11" ht="12.75" customHeight="1" x14ac:dyDescent="0.2">
      <c r="A22" s="153" t="s">
        <v>933</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774</v>
      </c>
      <c r="B23" s="664">
        <f t="shared" ref="B23:G23" si="5">B20+B21+B22</f>
        <v>256354269.73999977</v>
      </c>
      <c r="C23" s="665">
        <f t="shared" si="5"/>
        <v>1512993108</v>
      </c>
      <c r="D23" s="666">
        <f t="shared" si="5"/>
        <v>1515219112</v>
      </c>
      <c r="E23" s="666">
        <f t="shared" si="5"/>
        <v>34719560.729999959</v>
      </c>
      <c r="F23" s="666">
        <f t="shared" si="5"/>
        <v>358548874.69999993</v>
      </c>
      <c r="G23" s="667">
        <f t="shared" si="5"/>
        <v>631341296.66666675</v>
      </c>
      <c r="H23" s="666">
        <f t="shared" si="1"/>
        <v>-272792421.96666682</v>
      </c>
      <c r="I23" s="601">
        <f t="shared" si="2"/>
        <v>-0.43208391943778512</v>
      </c>
      <c r="J23" s="668">
        <f>J20+J21+J22</f>
        <v>1515219112</v>
      </c>
    </row>
    <row r="24" spans="1:11" ht="12.75" customHeight="1" x14ac:dyDescent="0.2">
      <c r="A24" s="351" t="s">
        <v>491</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922</v>
      </c>
      <c r="B25" s="674">
        <f t="shared" ref="B25:G25" si="6">B23+B24</f>
        <v>256354269.73999977</v>
      </c>
      <c r="C25" s="675">
        <f t="shared" si="6"/>
        <v>1512993108</v>
      </c>
      <c r="D25" s="646">
        <f t="shared" si="6"/>
        <v>1515219112</v>
      </c>
      <c r="E25" s="646">
        <f t="shared" si="6"/>
        <v>34719560.729999959</v>
      </c>
      <c r="F25" s="646">
        <f t="shared" si="6"/>
        <v>358548874.69999993</v>
      </c>
      <c r="G25" s="676">
        <f t="shared" si="6"/>
        <v>631341296.66666675</v>
      </c>
      <c r="H25" s="646">
        <f t="shared" si="1"/>
        <v>-272792421.96666682</v>
      </c>
      <c r="I25" s="207">
        <f t="shared" si="2"/>
        <v>-0.43208391943778512</v>
      </c>
      <c r="J25" s="650">
        <f>J23+J24</f>
        <v>1515219112</v>
      </c>
    </row>
    <row r="26" spans="1:11" ht="5.0999999999999996" customHeight="1" x14ac:dyDescent="0.2">
      <c r="A26" s="155"/>
      <c r="B26" s="210"/>
      <c r="C26" s="211"/>
      <c r="D26" s="33"/>
      <c r="E26" s="33"/>
      <c r="F26" s="33"/>
      <c r="G26" s="33"/>
      <c r="H26" s="33"/>
      <c r="I26" s="212"/>
      <c r="J26" s="213"/>
    </row>
    <row r="27" spans="1:11" ht="12.75" customHeight="1" x14ac:dyDescent="0.2">
      <c r="A27" s="152" t="s">
        <v>957</v>
      </c>
      <c r="B27" s="214"/>
      <c r="C27" s="215"/>
      <c r="D27" s="31"/>
      <c r="E27" s="31"/>
      <c r="F27" s="31"/>
      <c r="G27" s="31"/>
      <c r="H27" s="31"/>
      <c r="I27" s="216"/>
      <c r="J27" s="217"/>
    </row>
    <row r="28" spans="1:11" ht="12.75" customHeight="1" x14ac:dyDescent="0.2">
      <c r="A28" s="154" t="s">
        <v>601</v>
      </c>
      <c r="B28" s="669">
        <f>'C5-Capex'!C40</f>
        <v>1369152210.2073689</v>
      </c>
      <c r="C28" s="670">
        <f>'C5-Capex'!D40</f>
        <v>1889186000</v>
      </c>
      <c r="D28" s="671">
        <f>'C5-Capex'!E40</f>
        <v>1830632104</v>
      </c>
      <c r="E28" s="671">
        <f>'C5-Capex'!F40</f>
        <v>124247725.66700003</v>
      </c>
      <c r="F28" s="671">
        <f>'C5-Capex'!G40</f>
        <v>381153474.47200006</v>
      </c>
      <c r="G28" s="672">
        <f>'C5-Capex'!H40</f>
        <v>762763376.66666675</v>
      </c>
      <c r="H28" s="671">
        <f t="shared" ref="H28:H33" si="7">F28-G28</f>
        <v>-381609902.19466668</v>
      </c>
      <c r="I28" s="385">
        <f t="shared" ref="I28:I33" si="8">IF(H28=0,"",H28/G28)</f>
        <v>-0.50029919352228291</v>
      </c>
      <c r="J28" s="673">
        <f>'C5-Capex'!K40</f>
        <v>1830632080</v>
      </c>
    </row>
    <row r="29" spans="1:11" ht="12.75" customHeight="1" x14ac:dyDescent="0.2">
      <c r="A29" s="153" t="s">
        <v>512</v>
      </c>
      <c r="B29" s="657">
        <f>'C5-Capex'!C70</f>
        <v>1070478839.6583691</v>
      </c>
      <c r="C29" s="658">
        <f>'C5-Capex'!D70</f>
        <v>1281136000</v>
      </c>
      <c r="D29" s="411">
        <f>'C5-Capex'!E70</f>
        <v>1281136000</v>
      </c>
      <c r="E29" s="411">
        <f>'C5-Capex'!F70</f>
        <v>109172713.905</v>
      </c>
      <c r="F29" s="411">
        <f>'C5-Capex'!G70</f>
        <v>344733367.67000002</v>
      </c>
      <c r="G29" s="659">
        <f>'C5-Capex'!H70</f>
        <v>533806666.66666669</v>
      </c>
      <c r="H29" s="411">
        <f t="shared" si="7"/>
        <v>-189073298.99666667</v>
      </c>
      <c r="I29" s="600">
        <f t="shared" si="8"/>
        <v>-0.35419808481847359</v>
      </c>
      <c r="J29" s="651">
        <f>'C5-Capex'!K70</f>
        <v>1281136000</v>
      </c>
      <c r="K29" s="157"/>
    </row>
    <row r="30" spans="1:11" ht="12.75" customHeight="1" x14ac:dyDescent="0.2">
      <c r="A30" s="153" t="s">
        <v>490</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801</v>
      </c>
      <c r="B31" s="657">
        <f>'C5-Capex'!C72</f>
        <v>6767425.7460000003</v>
      </c>
      <c r="C31" s="658">
        <f>'C5-Capex'!D72</f>
        <v>380000000</v>
      </c>
      <c r="D31" s="411">
        <f>'C5-Capex'!E72</f>
        <v>380000000</v>
      </c>
      <c r="E31" s="411">
        <f>'C5-Capex'!F72</f>
        <v>0</v>
      </c>
      <c r="F31" s="411">
        <f>'C5-Capex'!G72</f>
        <v>6913258.6835000003</v>
      </c>
      <c r="G31" s="659">
        <f>'C5-Capex'!H72</f>
        <v>158333333.33333334</v>
      </c>
      <c r="H31" s="411">
        <f t="shared" si="7"/>
        <v>-151420074.64983335</v>
      </c>
      <c r="I31" s="208">
        <f t="shared" si="8"/>
        <v>-0.95633731357789475</v>
      </c>
      <c r="J31" s="651">
        <f>'C5-Capex'!K72</f>
        <v>380000000</v>
      </c>
      <c r="K31" s="157"/>
    </row>
    <row r="32" spans="1:11" ht="12.75" customHeight="1" x14ac:dyDescent="0.2">
      <c r="A32" s="153" t="s">
        <v>484</v>
      </c>
      <c r="B32" s="669">
        <f>'C5-Capex'!C73</f>
        <v>291905944.80299997</v>
      </c>
      <c r="C32" s="670">
        <f>'C5-Capex'!D73</f>
        <v>228050000</v>
      </c>
      <c r="D32" s="671">
        <f>'C5-Capex'!E73</f>
        <v>169496004</v>
      </c>
      <c r="E32" s="671">
        <f>'C5-Capex'!F73</f>
        <v>15075011.761999996</v>
      </c>
      <c r="F32" s="671">
        <f>'C5-Capex'!G73</f>
        <v>29506848.119999997</v>
      </c>
      <c r="G32" s="672">
        <f>'C5-Capex'!H73</f>
        <v>70623335</v>
      </c>
      <c r="H32" s="671">
        <f t="shared" si="7"/>
        <v>-41116486.880000003</v>
      </c>
      <c r="I32" s="385">
        <f t="shared" si="8"/>
        <v>-0.58219407055755723</v>
      </c>
      <c r="J32" s="673">
        <f>'C5-Capex'!K73</f>
        <v>169496004</v>
      </c>
      <c r="K32" s="157"/>
    </row>
    <row r="33" spans="1:10" ht="12.75" customHeight="1" x14ac:dyDescent="0.2">
      <c r="A33" s="592" t="s">
        <v>143</v>
      </c>
      <c r="B33" s="677">
        <f t="shared" ref="B33:J33" si="9">SUM(B29:B32)</f>
        <v>1369152210.2073691</v>
      </c>
      <c r="C33" s="622">
        <f t="shared" si="9"/>
        <v>1889186000</v>
      </c>
      <c r="D33" s="620">
        <f t="shared" si="9"/>
        <v>1830632004</v>
      </c>
      <c r="E33" s="620">
        <f>SUM(E29:E32)</f>
        <v>124247725.667</v>
      </c>
      <c r="F33" s="620">
        <f>SUM(F29:F32)</f>
        <v>381153474.47350001</v>
      </c>
      <c r="G33" s="621">
        <f>SUM(G29:G32)</f>
        <v>762763335</v>
      </c>
      <c r="H33" s="620">
        <f t="shared" si="7"/>
        <v>-381609860.52649999</v>
      </c>
      <c r="I33" s="603">
        <f t="shared" si="8"/>
        <v>-0.50029916622368853</v>
      </c>
      <c r="J33" s="623">
        <f t="shared" si="9"/>
        <v>1830632004</v>
      </c>
    </row>
    <row r="34" spans="1:10" ht="5.0999999999999996" customHeight="1" x14ac:dyDescent="0.2">
      <c r="A34" s="352"/>
      <c r="B34" s="210"/>
      <c r="C34" s="211"/>
      <c r="D34" s="33"/>
      <c r="E34" s="33"/>
      <c r="F34" s="33"/>
      <c r="G34" s="33"/>
      <c r="H34" s="33"/>
      <c r="I34" s="212"/>
      <c r="J34" s="213"/>
    </row>
    <row r="35" spans="1:10" ht="12.75" customHeight="1" x14ac:dyDescent="0.2">
      <c r="A35" s="156" t="s">
        <v>505</v>
      </c>
      <c r="B35" s="198"/>
      <c r="C35" s="197"/>
      <c r="D35" s="30"/>
      <c r="E35" s="30"/>
      <c r="F35" s="30"/>
      <c r="G35" s="218"/>
      <c r="H35" s="218"/>
      <c r="I35" s="220"/>
      <c r="J35" s="202"/>
    </row>
    <row r="36" spans="1:10" ht="12.75" customHeight="1" x14ac:dyDescent="0.2">
      <c r="A36" s="153" t="s">
        <v>652</v>
      </c>
      <c r="B36" s="657">
        <f>'C6-FinPos'!C13</f>
        <v>1390296268</v>
      </c>
      <c r="C36" s="658">
        <f>'C6-FinPos'!D13</f>
        <v>973408779.6500001</v>
      </c>
      <c r="D36" s="411">
        <f>'C6-FinPos'!E13</f>
        <v>840496063.76000023</v>
      </c>
      <c r="E36" s="411"/>
      <c r="F36" s="411">
        <f>'C6-FinPos'!F13</f>
        <v>1943287733.0700002</v>
      </c>
      <c r="G36" s="218"/>
      <c r="H36" s="218"/>
      <c r="I36" s="220"/>
      <c r="J36" s="651">
        <f>'C6-FinPos'!G13</f>
        <v>840496063.76000023</v>
      </c>
    </row>
    <row r="37" spans="1:10" ht="12.75" customHeight="1" x14ac:dyDescent="0.2">
      <c r="A37" s="153" t="s">
        <v>651</v>
      </c>
      <c r="B37" s="657">
        <f>'C6-FinPos'!C25</f>
        <v>13907018689</v>
      </c>
      <c r="C37" s="658">
        <f>'C6-FinPos'!D25</f>
        <v>16706838387</v>
      </c>
      <c r="D37" s="411">
        <f>'C6-FinPos'!E25</f>
        <v>16648284391</v>
      </c>
      <c r="E37" s="411"/>
      <c r="F37" s="411">
        <f>'C6-FinPos'!F25</f>
        <v>14161935023.5525</v>
      </c>
      <c r="G37" s="218"/>
      <c r="H37" s="218"/>
      <c r="I37" s="220"/>
      <c r="J37" s="651">
        <f>'C6-FinPos'!G25</f>
        <v>16648284391</v>
      </c>
    </row>
    <row r="38" spans="1:10" ht="12.75" customHeight="1" x14ac:dyDescent="0.2">
      <c r="A38" s="153" t="s">
        <v>469</v>
      </c>
      <c r="B38" s="657">
        <f>'C6-FinPos'!C35</f>
        <v>1358325729</v>
      </c>
      <c r="C38" s="658">
        <f>'C6-FinPos'!D35</f>
        <v>631804000</v>
      </c>
      <c r="D38" s="411">
        <f>'C6-FinPos'!E35</f>
        <v>631804000</v>
      </c>
      <c r="E38" s="411"/>
      <c r="F38" s="411">
        <f>'C6-FinPos'!F35</f>
        <v>918759248.32649994</v>
      </c>
      <c r="G38" s="218"/>
      <c r="H38" s="218"/>
      <c r="I38" s="220"/>
      <c r="J38" s="651">
        <f>'C6-FinPos'!G35</f>
        <v>631804000</v>
      </c>
    </row>
    <row r="39" spans="1:10" ht="12.75" customHeight="1" x14ac:dyDescent="0.2">
      <c r="A39" s="153" t="s">
        <v>468</v>
      </c>
      <c r="B39" s="657">
        <f>'C6-FinPos'!C40</f>
        <v>905588668</v>
      </c>
      <c r="C39" s="658">
        <f>'C6-FinPos'!D40</f>
        <v>1130489654</v>
      </c>
      <c r="D39" s="411">
        <f>'C6-FinPos'!E40</f>
        <v>1130489654</v>
      </c>
      <c r="E39" s="411"/>
      <c r="F39" s="411">
        <f>'C6-FinPos'!F40</f>
        <v>895422249.76999998</v>
      </c>
      <c r="G39" s="218"/>
      <c r="H39" s="218"/>
      <c r="I39" s="220"/>
      <c r="J39" s="651">
        <f>'C6-FinPos'!G40</f>
        <v>1130489654</v>
      </c>
    </row>
    <row r="40" spans="1:10" ht="12.75" customHeight="1" x14ac:dyDescent="0.2">
      <c r="A40" s="592" t="s">
        <v>142</v>
      </c>
      <c r="B40" s="674">
        <f>'C6-FinPos'!C48</f>
        <v>13033400560</v>
      </c>
      <c r="C40" s="675">
        <f>'C6-FinPos'!D48</f>
        <v>15917953512.650002</v>
      </c>
      <c r="D40" s="646">
        <f>'C6-FinPos'!E48</f>
        <v>15726486800.760002</v>
      </c>
      <c r="E40" s="411"/>
      <c r="F40" s="646">
        <f>'C6-FinPos'!F48</f>
        <v>14291041258.525999</v>
      </c>
      <c r="G40" s="604"/>
      <c r="H40" s="604"/>
      <c r="I40" s="605"/>
      <c r="J40" s="650">
        <f>'C6-FinPos'!G48</f>
        <v>15726486800.760002</v>
      </c>
    </row>
    <row r="41" spans="1:10" ht="5.0999999999999996" customHeight="1" x14ac:dyDescent="0.2">
      <c r="A41" s="155"/>
      <c r="B41" s="210"/>
      <c r="C41" s="211"/>
      <c r="D41" s="33"/>
      <c r="E41" s="33"/>
      <c r="F41" s="33"/>
      <c r="G41" s="219"/>
      <c r="H41" s="219"/>
      <c r="I41" s="221"/>
      <c r="J41" s="213"/>
    </row>
    <row r="42" spans="1:10" ht="12.75" customHeight="1" x14ac:dyDescent="0.2">
      <c r="A42" s="152" t="s">
        <v>506</v>
      </c>
      <c r="B42" s="214"/>
      <c r="C42" s="215"/>
      <c r="D42" s="31"/>
      <c r="E42" s="31"/>
      <c r="F42" s="31"/>
      <c r="G42" s="31"/>
      <c r="H42" s="31"/>
      <c r="I42" s="216"/>
      <c r="J42" s="217"/>
    </row>
    <row r="43" spans="1:10" ht="12.75" customHeight="1" x14ac:dyDescent="0.2">
      <c r="A43" s="153" t="s">
        <v>668</v>
      </c>
      <c r="B43" s="657">
        <f>'C7-CFlow'!C18</f>
        <v>1206281337.1538014</v>
      </c>
      <c r="C43" s="658">
        <f>'C7-CFlow'!D18</f>
        <v>1582961409</v>
      </c>
      <c r="D43" s="411">
        <f>'C7-CFlow'!E18</f>
        <v>1524961408.999999</v>
      </c>
      <c r="E43" s="411">
        <f>'C7-CFlow'!F18</f>
        <v>300710664.21333355</v>
      </c>
      <c r="F43" s="411">
        <f>'C7-CFlow'!G18</f>
        <v>615318352.75000286</v>
      </c>
      <c r="G43" s="659">
        <f>'C7-CFlow'!H18</f>
        <v>635400587.08333325</v>
      </c>
      <c r="H43" s="411">
        <f>G43-F43</f>
        <v>20082234.333330393</v>
      </c>
      <c r="I43" s="208">
        <f>IF(H43=0,"",H43/G43)</f>
        <v>3.1605627601814908E-2</v>
      </c>
      <c r="J43" s="651">
        <f>'C7-CFlow'!K18</f>
        <v>1524961408.999999</v>
      </c>
    </row>
    <row r="44" spans="1:10" ht="12.75" customHeight="1" x14ac:dyDescent="0.2">
      <c r="A44" s="153" t="s">
        <v>669</v>
      </c>
      <c r="B44" s="657">
        <f>'C7-CFlow'!C28</f>
        <v>-1061415964.723804</v>
      </c>
      <c r="C44" s="658">
        <f>'C7-CFlow'!D28</f>
        <v>-1816379813.4399998</v>
      </c>
      <c r="D44" s="411">
        <f>'C7-CFlow'!E28</f>
        <v>-1757825817.4399998</v>
      </c>
      <c r="E44" s="411">
        <f>'C7-CFlow'!F28</f>
        <v>-124247725.67</v>
      </c>
      <c r="F44" s="411">
        <f>'C7-CFlow'!G28</f>
        <v>-297747390.11000001</v>
      </c>
      <c r="G44" s="659">
        <f>'C7-CFlow'!H28</f>
        <v>-732427423.93333328</v>
      </c>
      <c r="H44" s="411">
        <f>G44-F44</f>
        <v>-434680033.82333326</v>
      </c>
      <c r="I44" s="208">
        <f>IF(H44=0,"",H44/G44)</f>
        <v>0.59347864323400668</v>
      </c>
      <c r="J44" s="651">
        <f>'C7-CFlow'!K28</f>
        <v>-1757825817.4399998</v>
      </c>
    </row>
    <row r="45" spans="1:10" ht="12.75" customHeight="1" x14ac:dyDescent="0.2">
      <c r="A45" s="153" t="s">
        <v>667</v>
      </c>
      <c r="B45" s="657">
        <f>'C7-CFlow'!C37</f>
        <v>-87756567.329999998</v>
      </c>
      <c r="C45" s="658">
        <f>'C7-CFlow'!D37</f>
        <v>240000000</v>
      </c>
      <c r="D45" s="411">
        <f>'C7-CFlow'!E37</f>
        <v>240000000</v>
      </c>
      <c r="E45" s="411">
        <f>'C7-CFlow'!F37</f>
        <v>-1132176.6000000825</v>
      </c>
      <c r="F45" s="411">
        <f>'C7-CFlow'!G37</f>
        <v>-19864011.820000097</v>
      </c>
      <c r="G45" s="659">
        <f>'C7-CFlow'!H37</f>
        <v>100000000</v>
      </c>
      <c r="H45" s="411">
        <f>G45-F45</f>
        <v>119864011.8200001</v>
      </c>
      <c r="I45" s="208">
        <f>IF(H45=0,"",H45/G45)</f>
        <v>1.198640118200001</v>
      </c>
      <c r="J45" s="651">
        <f>'C7-CFlow'!K37</f>
        <v>240000000</v>
      </c>
    </row>
    <row r="46" spans="1:10" ht="12.75" customHeight="1" x14ac:dyDescent="0.2">
      <c r="A46" s="154" t="s">
        <v>54</v>
      </c>
      <c r="B46" s="674">
        <f>'C7-CFlow'!C41</f>
        <v>61635083.999997444</v>
      </c>
      <c r="C46" s="675">
        <f>'C7-CFlow'!D41</f>
        <v>166129395.45000017</v>
      </c>
      <c r="D46" s="646">
        <f>'C7-CFlow'!E41</f>
        <v>68770675.559999228</v>
      </c>
      <c r="E46" s="646">
        <f>'C7-CFlow'!F41</f>
        <v>0</v>
      </c>
      <c r="F46" s="646">
        <f>'C7-CFlow'!G41</f>
        <v>359342034.82000017</v>
      </c>
      <c r="G46" s="676">
        <f>'C7-CFlow'!H41</f>
        <v>64608247.149999976</v>
      </c>
      <c r="H46" s="646">
        <f>G46-F46</f>
        <v>-294733787.6700002</v>
      </c>
      <c r="I46" s="207">
        <f>IF(H46=0,"",H46/G46)</f>
        <v>-4.5618601443515603</v>
      </c>
      <c r="J46" s="650">
        <f>'C7-CFlow'!K41</f>
        <v>68770675.559996665</v>
      </c>
    </row>
    <row r="47" spans="1:10" ht="5.0999999999999996" customHeight="1" x14ac:dyDescent="0.2">
      <c r="A47" s="178"/>
      <c r="B47" s="210"/>
      <c r="C47" s="211"/>
      <c r="D47" s="33"/>
      <c r="E47" s="33"/>
      <c r="F47" s="33"/>
      <c r="G47" s="33"/>
      <c r="H47" s="33"/>
      <c r="I47" s="212"/>
      <c r="J47" s="213"/>
    </row>
    <row r="48" spans="1:10" ht="25.5" customHeight="1" x14ac:dyDescent="0.2">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153992483</v>
      </c>
      <c r="C50" s="658">
        <f>'SC3'!D14</f>
        <v>67359647</v>
      </c>
      <c r="D50" s="411">
        <f>'SC3'!E14</f>
        <v>60323221</v>
      </c>
      <c r="E50" s="411">
        <f>'SC3'!F14</f>
        <v>42621097</v>
      </c>
      <c r="F50" s="411">
        <f>'SC3'!G14</f>
        <v>38346834</v>
      </c>
      <c r="G50" s="659">
        <f>'SC3'!H14</f>
        <v>33392196</v>
      </c>
      <c r="H50" s="411">
        <f>'SC3'!I14</f>
        <v>85075134</v>
      </c>
      <c r="I50" s="659">
        <f>'SC3'!J14</f>
        <v>867830253</v>
      </c>
      <c r="J50" s="651">
        <f>'SC3'!K14</f>
        <v>1348940865</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466</v>
      </c>
      <c r="B52" s="657">
        <f>'SC4'!C15</f>
        <v>139338893.38999999</v>
      </c>
      <c r="C52" s="658">
        <f>'SC4'!D15</f>
        <v>32331395.059999999</v>
      </c>
      <c r="D52" s="411">
        <f>'SC4'!E15</f>
        <v>0</v>
      </c>
      <c r="E52" s="411">
        <f>'SC4'!F15</f>
        <v>26324924.82</v>
      </c>
      <c r="F52" s="411">
        <f>'SC4'!G15</f>
        <v>0</v>
      </c>
      <c r="G52" s="659">
        <f>'SC4'!H15</f>
        <v>0</v>
      </c>
      <c r="H52" s="411">
        <f>'SC4'!I15</f>
        <v>0</v>
      </c>
      <c r="I52" s="659">
        <f>'SC4'!J15</f>
        <v>0</v>
      </c>
      <c r="J52" s="651">
        <f>'SC4'!K15</f>
        <v>197995213.26999998</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23"/>
      <c r="B55" s="1023"/>
      <c r="C55" s="1023"/>
      <c r="D55" s="1023"/>
      <c r="E55" s="1023"/>
      <c r="F55" s="1023"/>
      <c r="G55" s="1023"/>
      <c r="H55" s="1023"/>
      <c r="I55" s="1023"/>
      <c r="J55" s="1023"/>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0" activePane="bottomRight" state="frozen"/>
      <selection pane="topRight"/>
      <selection pane="bottomLeft"/>
      <selection pane="bottomRight" sqref="A1:XFD1048576"/>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33" t="str">
        <f>muni&amp; " - "&amp;S71A&amp; " - "&amp;date</f>
        <v>LIM354 Polokwane - Table C2 Monthly Budget Statement - Financial Performance (functional classification) - M05 November</v>
      </c>
      <c r="B1" s="1033"/>
      <c r="C1" s="1033"/>
      <c r="D1" s="1033"/>
      <c r="E1" s="1033"/>
      <c r="F1" s="1033"/>
      <c r="G1" s="1033"/>
      <c r="H1" s="1033"/>
      <c r="I1" s="1033"/>
      <c r="J1" s="1033"/>
      <c r="K1" s="1033"/>
    </row>
    <row r="2" spans="1:18" x14ac:dyDescent="0.2">
      <c r="A2" s="1031" t="str">
        <f>desc</f>
        <v>Description</v>
      </c>
      <c r="B2" s="1029" t="str">
        <f>head27</f>
        <v>Ref</v>
      </c>
      <c r="C2" s="24" t="str">
        <f>Head1</f>
        <v>2018/19</v>
      </c>
      <c r="D2" s="232" t="str">
        <f>Head2</f>
        <v>Budget Year 2019/20</v>
      </c>
      <c r="E2" s="230"/>
      <c r="F2" s="230"/>
      <c r="G2" s="230"/>
      <c r="H2" s="230"/>
      <c r="I2" s="230"/>
      <c r="J2" s="230"/>
      <c r="K2" s="231"/>
    </row>
    <row r="3" spans="1:18" ht="20.399999999999999" x14ac:dyDescent="0.2">
      <c r="A3" s="1032"/>
      <c r="B3" s="1030"/>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687</v>
      </c>
      <c r="B4" s="428">
        <v>1</v>
      </c>
      <c r="C4" s="426"/>
      <c r="D4" s="241"/>
      <c r="E4" s="242"/>
      <c r="F4" s="83"/>
      <c r="G4" s="83"/>
      <c r="H4" s="83"/>
      <c r="I4" s="83"/>
      <c r="J4" s="243" t="s">
        <v>594</v>
      </c>
      <c r="K4" s="224"/>
    </row>
    <row r="5" spans="1:18" ht="12.75" customHeight="1" x14ac:dyDescent="0.2">
      <c r="A5" s="36" t="s">
        <v>1173</v>
      </c>
      <c r="B5" s="429"/>
      <c r="C5" s="227"/>
      <c r="D5" s="435"/>
      <c r="E5" s="239"/>
      <c r="F5" s="239"/>
      <c r="G5" s="239"/>
      <c r="H5" s="239"/>
      <c r="I5" s="239"/>
      <c r="J5" s="239"/>
      <c r="K5" s="240"/>
      <c r="L5" s="101"/>
    </row>
    <row r="6" spans="1:18" ht="12.75" customHeight="1" x14ac:dyDescent="0.2">
      <c r="A6" s="417" t="s">
        <v>144</v>
      </c>
      <c r="B6" s="418"/>
      <c r="C6" s="650">
        <f t="shared" ref="C6:H6" si="0">SUM(C7:C9)</f>
        <v>2475483599.21</v>
      </c>
      <c r="D6" s="678">
        <f t="shared" si="0"/>
        <v>3150801864</v>
      </c>
      <c r="E6" s="646">
        <f t="shared" si="0"/>
        <v>3150801864</v>
      </c>
      <c r="F6" s="646">
        <f t="shared" si="0"/>
        <v>173044951.65000004</v>
      </c>
      <c r="G6" s="646">
        <f t="shared" si="0"/>
        <v>1031122777.9400001</v>
      </c>
      <c r="H6" s="646">
        <f t="shared" si="0"/>
        <v>1312833861</v>
      </c>
      <c r="I6" s="48">
        <f t="shared" ref="I6:I13" si="1">G6-H6</f>
        <v>-281711083.05999994</v>
      </c>
      <c r="J6" s="201">
        <f>IF(I6=0,"",I6/H6)</f>
        <v>-0.21458243227015603</v>
      </c>
      <c r="K6" s="650">
        <f>SUM(K7:K9)</f>
        <v>3150801864</v>
      </c>
      <c r="L6" s="101"/>
      <c r="Q6" s="70"/>
      <c r="R6" s="71"/>
    </row>
    <row r="7" spans="1:18" ht="12.75" customHeight="1" x14ac:dyDescent="0.2">
      <c r="A7" s="419" t="s">
        <v>112</v>
      </c>
      <c r="B7" s="418"/>
      <c r="C7" s="651">
        <f>'C2C'!C7</f>
        <v>0</v>
      </c>
      <c r="D7" s="679">
        <f>'C2C'!D7</f>
        <v>2003988</v>
      </c>
      <c r="E7" s="411">
        <f>'C2C'!E7</f>
        <v>2003988</v>
      </c>
      <c r="F7" s="411">
        <f>'C2C'!F7</f>
        <v>0</v>
      </c>
      <c r="G7" s="411">
        <f>'C2C'!G7</f>
        <v>0</v>
      </c>
      <c r="H7" s="411">
        <f>'C2C'!H7</f>
        <v>834663</v>
      </c>
      <c r="I7" s="48">
        <f t="shared" si="1"/>
        <v>-834663</v>
      </c>
      <c r="J7" s="201">
        <f t="shared" ref="J7:J26" si="2">IF(I7=0,"",I7/H7)</f>
        <v>-1</v>
      </c>
      <c r="K7" s="651">
        <f>'C2C'!K7</f>
        <v>2003988</v>
      </c>
      <c r="L7" s="101"/>
      <c r="Q7" s="70"/>
      <c r="R7" s="71"/>
    </row>
    <row r="8" spans="1:18" ht="12.75" customHeight="1" x14ac:dyDescent="0.2">
      <c r="A8" s="419" t="s">
        <v>1159</v>
      </c>
      <c r="B8" s="418"/>
      <c r="C8" s="652">
        <f>'C2C'!C10</f>
        <v>2475483599.21</v>
      </c>
      <c r="D8" s="680">
        <f>'C2C'!D10</f>
        <v>3148796880</v>
      </c>
      <c r="E8" s="681">
        <f>'C2C'!E10</f>
        <v>3148797876</v>
      </c>
      <c r="F8" s="681">
        <f>'C2C'!F10</f>
        <v>173044951.65000004</v>
      </c>
      <c r="G8" s="681">
        <f>'C2C'!G10</f>
        <v>1031122777.9400001</v>
      </c>
      <c r="H8" s="681">
        <f>'C2C'!H10</f>
        <v>1311999115</v>
      </c>
      <c r="I8" s="48">
        <f t="shared" si="1"/>
        <v>-280876337.05999994</v>
      </c>
      <c r="J8" s="201">
        <f t="shared" si="2"/>
        <v>-0.21408271838658971</v>
      </c>
      <c r="K8" s="682">
        <f>'C2C'!K10</f>
        <v>3148796880</v>
      </c>
      <c r="L8" s="101"/>
      <c r="Q8" s="70"/>
      <c r="R8" s="71"/>
    </row>
    <row r="9" spans="1:18" ht="12.75" customHeight="1" x14ac:dyDescent="0.2">
      <c r="A9" s="419" t="s">
        <v>1171</v>
      </c>
      <c r="B9" s="418"/>
      <c r="C9" s="651">
        <f>'C2C'!C25</f>
        <v>0</v>
      </c>
      <c r="D9" s="679">
        <f>'C2C'!D25</f>
        <v>996</v>
      </c>
      <c r="E9" s="411">
        <f>'C2C'!E25</f>
        <v>0</v>
      </c>
      <c r="F9" s="411">
        <f>'C2C'!F25</f>
        <v>0</v>
      </c>
      <c r="G9" s="411">
        <f>'C2C'!G25</f>
        <v>0</v>
      </c>
      <c r="H9" s="411">
        <f>'C2C'!H25</f>
        <v>83</v>
      </c>
      <c r="I9" s="48">
        <f t="shared" si="1"/>
        <v>-83</v>
      </c>
      <c r="J9" s="201">
        <f t="shared" si="2"/>
        <v>-1</v>
      </c>
      <c r="K9" s="651">
        <f>'C2C'!K25</f>
        <v>996</v>
      </c>
      <c r="L9" s="101"/>
      <c r="Q9" s="70"/>
      <c r="R9" s="71"/>
    </row>
    <row r="10" spans="1:18" ht="12.75" customHeight="1" x14ac:dyDescent="0.2">
      <c r="A10" s="417" t="s">
        <v>113</v>
      </c>
      <c r="B10" s="418"/>
      <c r="C10" s="650">
        <f t="shared" ref="C10:H10" si="3">SUM(C11:C15)</f>
        <v>27865151.939999994</v>
      </c>
      <c r="D10" s="678">
        <f t="shared" si="3"/>
        <v>22790892</v>
      </c>
      <c r="E10" s="646">
        <f t="shared" si="3"/>
        <v>22790892</v>
      </c>
      <c r="F10" s="646">
        <f t="shared" si="3"/>
        <v>944466.55</v>
      </c>
      <c r="G10" s="646">
        <f t="shared" si="3"/>
        <v>3673902.61</v>
      </c>
      <c r="H10" s="646">
        <f t="shared" si="3"/>
        <v>9495209</v>
      </c>
      <c r="I10" s="48">
        <f t="shared" si="1"/>
        <v>-5821306.3900000006</v>
      </c>
      <c r="J10" s="201">
        <f t="shared" si="2"/>
        <v>-0.61307827874036269</v>
      </c>
      <c r="K10" s="650">
        <f>SUM(K11:K15)</f>
        <v>22790892</v>
      </c>
      <c r="L10" s="101"/>
      <c r="Q10" s="70"/>
      <c r="R10" s="71"/>
    </row>
    <row r="11" spans="1:18" ht="12.75" customHeight="1" x14ac:dyDescent="0.2">
      <c r="A11" s="419" t="s">
        <v>114</v>
      </c>
      <c r="B11" s="418"/>
      <c r="C11" s="651">
        <f>'C2C'!C28</f>
        <v>294893.93</v>
      </c>
      <c r="D11" s="679">
        <f>'C2C'!D28</f>
        <v>1700964</v>
      </c>
      <c r="E11" s="411">
        <f>'C2C'!E28</f>
        <v>1700964</v>
      </c>
      <c r="F11" s="411">
        <f>'C2C'!F28</f>
        <v>129860.41</v>
      </c>
      <c r="G11" s="411">
        <f>'C2C'!G28</f>
        <v>994548.1</v>
      </c>
      <c r="H11" s="411">
        <f>'C2C'!H28</f>
        <v>708735</v>
      </c>
      <c r="I11" s="48">
        <f t="shared" si="1"/>
        <v>285813.09999999998</v>
      </c>
      <c r="J11" s="201">
        <f t="shared" si="2"/>
        <v>0.40327216801766524</v>
      </c>
      <c r="K11" s="651">
        <f>'C2C'!K28</f>
        <v>1700964</v>
      </c>
      <c r="L11" s="101"/>
      <c r="Q11" s="70"/>
      <c r="R11" s="71"/>
    </row>
    <row r="12" spans="1:18" ht="12.75" customHeight="1" x14ac:dyDescent="0.2">
      <c r="A12" s="419" t="s">
        <v>115</v>
      </c>
      <c r="B12" s="418"/>
      <c r="C12" s="651">
        <f>'C2C'!C50</f>
        <v>26732122.819999997</v>
      </c>
      <c r="D12" s="679">
        <f>'C2C'!D50</f>
        <v>11874948</v>
      </c>
      <c r="E12" s="411">
        <f>'C2C'!E50</f>
        <v>11874948</v>
      </c>
      <c r="F12" s="411">
        <f>'C2C'!F50</f>
        <v>667929.78</v>
      </c>
      <c r="G12" s="411">
        <f>'C2C'!G50</f>
        <v>1919699.9200000002</v>
      </c>
      <c r="H12" s="411">
        <f>'C2C'!H50</f>
        <v>4947895</v>
      </c>
      <c r="I12" s="48">
        <f t="shared" si="1"/>
        <v>-3028195.08</v>
      </c>
      <c r="J12" s="201">
        <f t="shared" si="2"/>
        <v>-0.61201684352638852</v>
      </c>
      <c r="K12" s="651">
        <f>'C2C'!K50</f>
        <v>11874948</v>
      </c>
      <c r="L12" s="101"/>
      <c r="Q12" s="70"/>
      <c r="R12" s="71"/>
    </row>
    <row r="13" spans="1:18" ht="12.75" customHeight="1" x14ac:dyDescent="0.2">
      <c r="A13" s="419" t="s">
        <v>116</v>
      </c>
      <c r="B13" s="418"/>
      <c r="C13" s="651">
        <f>'C2C'!C56</f>
        <v>532618.05999999994</v>
      </c>
      <c r="D13" s="679">
        <f>'C2C'!D56</f>
        <v>354000</v>
      </c>
      <c r="E13" s="411">
        <f>'C2C'!E56</f>
        <v>354000</v>
      </c>
      <c r="F13" s="411">
        <f>'C2C'!F56</f>
        <v>56021.42</v>
      </c>
      <c r="G13" s="411">
        <f>'C2C'!G56</f>
        <v>322758.29000000004</v>
      </c>
      <c r="H13" s="411">
        <f>'C2C'!H56</f>
        <v>147500</v>
      </c>
      <c r="I13" s="48">
        <f t="shared" si="1"/>
        <v>175258.29000000004</v>
      </c>
      <c r="J13" s="201">
        <f t="shared" si="2"/>
        <v>1.1881917966101698</v>
      </c>
      <c r="K13" s="651">
        <f>'C2C'!K56</f>
        <v>354000</v>
      </c>
      <c r="L13" s="101"/>
      <c r="Q13" s="70"/>
      <c r="R13" s="71"/>
    </row>
    <row r="14" spans="1:18" ht="12.75" customHeight="1" x14ac:dyDescent="0.2">
      <c r="A14" s="419" t="s">
        <v>733</v>
      </c>
      <c r="B14" s="418"/>
      <c r="C14" s="651">
        <f>'C2C'!C63</f>
        <v>305517.13</v>
      </c>
      <c r="D14" s="679">
        <f>'C2C'!D63</f>
        <v>8857992</v>
      </c>
      <c r="E14" s="411">
        <f>'C2C'!E63</f>
        <v>8857992</v>
      </c>
      <c r="F14" s="411">
        <f>'C2C'!F63</f>
        <v>90654.94</v>
      </c>
      <c r="G14" s="411">
        <f>'C2C'!G63</f>
        <v>436622.3</v>
      </c>
      <c r="H14" s="411">
        <f>'C2C'!H63</f>
        <v>3690830</v>
      </c>
      <c r="I14" s="48">
        <f t="shared" ref="I14:I19" si="4">G14-H14</f>
        <v>-3254207.7</v>
      </c>
      <c r="J14" s="201">
        <f t="shared" ref="J14:J19" si="5">IF(I14=0,"",I14/H14)</f>
        <v>-0.88170078275076347</v>
      </c>
      <c r="K14" s="651">
        <f>'C2C'!K63</f>
        <v>8857992</v>
      </c>
      <c r="L14" s="101"/>
      <c r="Q14" s="70"/>
      <c r="R14" s="71"/>
    </row>
    <row r="15" spans="1:18" ht="12.75" customHeight="1" x14ac:dyDescent="0.2">
      <c r="A15" s="419" t="s">
        <v>630</v>
      </c>
      <c r="B15" s="418"/>
      <c r="C15" s="652">
        <f>'C2C'!C66</f>
        <v>0</v>
      </c>
      <c r="D15" s="680">
        <f>'C2C'!D66</f>
        <v>2988</v>
      </c>
      <c r="E15" s="681">
        <f>'C2C'!E66</f>
        <v>2988</v>
      </c>
      <c r="F15" s="681">
        <f>'C2C'!F66</f>
        <v>0</v>
      </c>
      <c r="G15" s="681">
        <f>'C2C'!G66</f>
        <v>274</v>
      </c>
      <c r="H15" s="681">
        <f>'C2C'!H66</f>
        <v>249</v>
      </c>
      <c r="I15" s="48">
        <f t="shared" si="4"/>
        <v>25</v>
      </c>
      <c r="J15" s="201">
        <f t="shared" si="5"/>
        <v>0.10040160642570281</v>
      </c>
      <c r="K15" s="682">
        <f>'C2C'!K66</f>
        <v>2988</v>
      </c>
      <c r="L15" s="101"/>
      <c r="Q15" s="70"/>
      <c r="R15" s="71"/>
    </row>
    <row r="16" spans="1:18" ht="12.75" customHeight="1" x14ac:dyDescent="0.2">
      <c r="A16" s="417" t="s">
        <v>117</v>
      </c>
      <c r="B16" s="420"/>
      <c r="C16" s="650">
        <f t="shared" ref="C16:H16" si="6">SUM(C17:C19)</f>
        <v>111137766.10000002</v>
      </c>
      <c r="D16" s="678">
        <f t="shared" si="6"/>
        <v>123099912</v>
      </c>
      <c r="E16" s="646">
        <f t="shared" si="6"/>
        <v>123099912</v>
      </c>
      <c r="F16" s="646">
        <f t="shared" si="6"/>
        <v>8393588.7300000004</v>
      </c>
      <c r="G16" s="646">
        <f t="shared" si="6"/>
        <v>17646344.079999998</v>
      </c>
      <c r="H16" s="646">
        <f t="shared" si="6"/>
        <v>51291630</v>
      </c>
      <c r="I16" s="48">
        <f t="shared" si="4"/>
        <v>-33645285.920000002</v>
      </c>
      <c r="J16" s="201">
        <f t="shared" si="5"/>
        <v>-0.65596055184832303</v>
      </c>
      <c r="K16" s="650">
        <f>SUM(K17:K19)</f>
        <v>123099912</v>
      </c>
      <c r="L16" s="101"/>
      <c r="Q16" s="70"/>
      <c r="R16" s="71"/>
    </row>
    <row r="17" spans="1:18" ht="12.75" customHeight="1" x14ac:dyDescent="0.2">
      <c r="A17" s="419" t="s">
        <v>118</v>
      </c>
      <c r="B17" s="418"/>
      <c r="C17" s="651">
        <f>'C2C'!C75</f>
        <v>18940312.600000001</v>
      </c>
      <c r="D17" s="679">
        <f>'C2C'!D75</f>
        <v>53480928</v>
      </c>
      <c r="E17" s="411">
        <f>'C2C'!E75</f>
        <v>53480928</v>
      </c>
      <c r="F17" s="411">
        <f>'C2C'!F75</f>
        <v>1611181.58</v>
      </c>
      <c r="G17" s="411">
        <f>'C2C'!G75</f>
        <v>7169013.8800000008</v>
      </c>
      <c r="H17" s="411">
        <f>'C2C'!H75</f>
        <v>22283720</v>
      </c>
      <c r="I17" s="48">
        <f t="shared" si="4"/>
        <v>-15114706.119999999</v>
      </c>
      <c r="J17" s="201">
        <f t="shared" si="5"/>
        <v>-0.67828469034793115</v>
      </c>
      <c r="K17" s="651">
        <f>'C2C'!K75</f>
        <v>53480928</v>
      </c>
      <c r="L17" s="101"/>
      <c r="Q17" s="70"/>
      <c r="R17" s="71"/>
    </row>
    <row r="18" spans="1:18" ht="12.75" customHeight="1" x14ac:dyDescent="0.2">
      <c r="A18" s="419" t="s">
        <v>119</v>
      </c>
      <c r="B18" s="418"/>
      <c r="C18" s="651">
        <f>'C2C'!C86</f>
        <v>92197453.030000016</v>
      </c>
      <c r="D18" s="679">
        <f>'C2C'!D86</f>
        <v>66161976</v>
      </c>
      <c r="E18" s="411">
        <f>'C2C'!E86</f>
        <v>66161976</v>
      </c>
      <c r="F18" s="411">
        <f>'C2C'!F86</f>
        <v>6782407.1499999994</v>
      </c>
      <c r="G18" s="411">
        <f>'C2C'!G86</f>
        <v>10477330.199999999</v>
      </c>
      <c r="H18" s="411">
        <f>'C2C'!H86</f>
        <v>27567490</v>
      </c>
      <c r="I18" s="48">
        <f t="shared" si="4"/>
        <v>-17090159.800000001</v>
      </c>
      <c r="J18" s="201">
        <f t="shared" si="5"/>
        <v>-0.61993891355360975</v>
      </c>
      <c r="K18" s="651">
        <f>'C2C'!K86</f>
        <v>66161976</v>
      </c>
      <c r="L18" s="101"/>
      <c r="Q18" s="70"/>
      <c r="R18" s="71"/>
    </row>
    <row r="19" spans="1:18" ht="12.75" customHeight="1" x14ac:dyDescent="0.2">
      <c r="A19" s="419" t="s">
        <v>120</v>
      </c>
      <c r="B19" s="418"/>
      <c r="C19" s="651">
        <f>'C2C'!C93</f>
        <v>0.47</v>
      </c>
      <c r="D19" s="679">
        <f>'C2C'!D93</f>
        <v>3457008</v>
      </c>
      <c r="E19" s="411">
        <f>'C2C'!E93</f>
        <v>3457008</v>
      </c>
      <c r="F19" s="411">
        <f>'C2C'!F93</f>
        <v>0</v>
      </c>
      <c r="G19" s="411">
        <f>'C2C'!G93</f>
        <v>0</v>
      </c>
      <c r="H19" s="411">
        <f>'C2C'!H93</f>
        <v>1440420</v>
      </c>
      <c r="I19" s="48">
        <f t="shared" si="4"/>
        <v>-1440420</v>
      </c>
      <c r="J19" s="201">
        <f t="shared" si="5"/>
        <v>-1</v>
      </c>
      <c r="K19" s="651">
        <f>'C2C'!K93</f>
        <v>3457008</v>
      </c>
      <c r="L19" s="101"/>
      <c r="Q19" s="70"/>
      <c r="R19" s="71"/>
    </row>
    <row r="20" spans="1:18" ht="12.75" customHeight="1" x14ac:dyDescent="0.2">
      <c r="A20" s="417" t="s">
        <v>121</v>
      </c>
      <c r="B20" s="420"/>
      <c r="C20" s="650">
        <f>SUM(C21:C24)</f>
        <v>1431156813.77</v>
      </c>
      <c r="D20" s="678">
        <f t="shared" ref="D20:I20" si="7">SUM(D21:D24)</f>
        <v>1766230956</v>
      </c>
      <c r="E20" s="646">
        <f t="shared" si="7"/>
        <v>1766230956</v>
      </c>
      <c r="F20" s="646">
        <f t="shared" si="7"/>
        <v>120557014.11</v>
      </c>
      <c r="G20" s="646">
        <f t="shared" si="7"/>
        <v>683704647.52999997</v>
      </c>
      <c r="H20" s="646">
        <f t="shared" si="7"/>
        <v>735929565</v>
      </c>
      <c r="I20" s="48">
        <f t="shared" si="7"/>
        <v>-52224917.470000051</v>
      </c>
      <c r="J20" s="201">
        <f t="shared" si="2"/>
        <v>-7.0964559590699486E-2</v>
      </c>
      <c r="K20" s="650">
        <f>SUM(K21:K24)</f>
        <v>1766230956</v>
      </c>
      <c r="L20" s="101"/>
      <c r="Q20" s="70"/>
      <c r="R20" s="71"/>
    </row>
    <row r="21" spans="1:18" ht="12.75" customHeight="1" x14ac:dyDescent="0.2">
      <c r="A21" s="419" t="s">
        <v>1228</v>
      </c>
      <c r="B21" s="418"/>
      <c r="C21" s="651">
        <f>'C2C'!C101</f>
        <v>956100536.37</v>
      </c>
      <c r="D21" s="679">
        <f>'C2C'!D101</f>
        <v>1192843992</v>
      </c>
      <c r="E21" s="411">
        <f>'C2C'!E101</f>
        <v>1192843992</v>
      </c>
      <c r="F21" s="411">
        <f>'C2C'!F101</f>
        <v>70290721.210000008</v>
      </c>
      <c r="G21" s="411">
        <f>'C2C'!G101</f>
        <v>428919089.12999994</v>
      </c>
      <c r="H21" s="411">
        <f>'C2C'!H101</f>
        <v>497018330</v>
      </c>
      <c r="I21" s="48">
        <f>G21-H21</f>
        <v>-68099240.870000064</v>
      </c>
      <c r="J21" s="201">
        <f t="shared" si="2"/>
        <v>-0.13701555206223492</v>
      </c>
      <c r="K21" s="651">
        <f>'C2C'!K101</f>
        <v>1192843992</v>
      </c>
      <c r="L21" s="101"/>
      <c r="Q21" s="70"/>
      <c r="R21" s="71"/>
    </row>
    <row r="22" spans="1:18" ht="12.75" customHeight="1" x14ac:dyDescent="0.2">
      <c r="A22" s="419" t="s">
        <v>1232</v>
      </c>
      <c r="B22" s="418"/>
      <c r="C22" s="651">
        <f>'C2C'!C105</f>
        <v>260621321.38999999</v>
      </c>
      <c r="D22" s="679">
        <f>'C2C'!D105</f>
        <v>310981968</v>
      </c>
      <c r="E22" s="411">
        <f>'C2C'!E105</f>
        <v>310981968</v>
      </c>
      <c r="F22" s="411">
        <f>'C2C'!F105</f>
        <v>25112335.940000001</v>
      </c>
      <c r="G22" s="411">
        <f>'C2C'!G105</f>
        <v>121554852.7</v>
      </c>
      <c r="H22" s="411">
        <f>'C2C'!H105</f>
        <v>129575820</v>
      </c>
      <c r="I22" s="48">
        <f>G22-H22</f>
        <v>-8020967.299999997</v>
      </c>
      <c r="J22" s="201">
        <f t="shared" si="2"/>
        <v>-6.1901729041730143E-2</v>
      </c>
      <c r="K22" s="651">
        <f>'C2C'!K105</f>
        <v>310981968</v>
      </c>
      <c r="L22" s="101"/>
      <c r="Q22" s="70"/>
      <c r="R22" s="71"/>
    </row>
    <row r="23" spans="1:18" ht="12.75" customHeight="1" x14ac:dyDescent="0.2">
      <c r="A23" s="419" t="s">
        <v>122</v>
      </c>
      <c r="B23" s="418"/>
      <c r="C23" s="652">
        <f>'C2C'!C109</f>
        <v>107299037.64999999</v>
      </c>
      <c r="D23" s="680">
        <f>'C2C'!D109</f>
        <v>133774008</v>
      </c>
      <c r="E23" s="681">
        <f>'C2C'!E109</f>
        <v>133774008</v>
      </c>
      <c r="F23" s="681">
        <f>'C2C'!F109</f>
        <v>15692905.039999995</v>
      </c>
      <c r="G23" s="681">
        <f>'C2C'!G109</f>
        <v>85995962.24000001</v>
      </c>
      <c r="H23" s="681">
        <f>'C2C'!H109</f>
        <v>55739170</v>
      </c>
      <c r="I23" s="48">
        <f>G23-H23</f>
        <v>30256792.24000001</v>
      </c>
      <c r="J23" s="201">
        <f t="shared" si="2"/>
        <v>0.54282818061338212</v>
      </c>
      <c r="K23" s="682">
        <f>'C2C'!K109</f>
        <v>133774008</v>
      </c>
      <c r="L23" s="101"/>
      <c r="Q23" s="70"/>
      <c r="R23" s="71"/>
    </row>
    <row r="24" spans="1:18" ht="12.75" customHeight="1" x14ac:dyDescent="0.2">
      <c r="A24" s="419" t="s">
        <v>123</v>
      </c>
      <c r="B24" s="418"/>
      <c r="C24" s="651">
        <f>'C2C'!C114</f>
        <v>107135918.36000001</v>
      </c>
      <c r="D24" s="679">
        <f>'C2C'!D114</f>
        <v>128630988</v>
      </c>
      <c r="E24" s="411">
        <f>'C2C'!E114</f>
        <v>128630988</v>
      </c>
      <c r="F24" s="411">
        <f>'C2C'!F114</f>
        <v>9461051.9200000018</v>
      </c>
      <c r="G24" s="411">
        <f>'C2C'!G114</f>
        <v>47234743.460000001</v>
      </c>
      <c r="H24" s="411">
        <f>'C2C'!H114</f>
        <v>53596245</v>
      </c>
      <c r="I24" s="48">
        <f>G24-H24</f>
        <v>-6361501.5399999991</v>
      </c>
      <c r="J24" s="201">
        <f t="shared" si="2"/>
        <v>-0.11869304538032467</v>
      </c>
      <c r="K24" s="651">
        <f>'C2C'!K114</f>
        <v>128630988</v>
      </c>
      <c r="L24" s="101"/>
      <c r="Q24" s="70"/>
      <c r="R24" s="71"/>
    </row>
    <row r="25" spans="1:18" ht="12.75" customHeight="1" x14ac:dyDescent="0.2">
      <c r="A25" s="417" t="s">
        <v>740</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1245</v>
      </c>
      <c r="B26" s="594">
        <v>2</v>
      </c>
      <c r="C26" s="653">
        <f>C6+C10+C16+C20+C25</f>
        <v>4045643331.02</v>
      </c>
      <c r="D26" s="607">
        <f t="shared" ref="D26:I26" si="8">D6+D10+D16+D20+D25</f>
        <v>5062923624</v>
      </c>
      <c r="E26" s="549">
        <f t="shared" si="8"/>
        <v>5062923624</v>
      </c>
      <c r="F26" s="549">
        <f t="shared" si="8"/>
        <v>302940021.04000002</v>
      </c>
      <c r="G26" s="549">
        <f t="shared" si="8"/>
        <v>1736147672.1600001</v>
      </c>
      <c r="H26" s="549">
        <f t="shared" si="8"/>
        <v>2109550265</v>
      </c>
      <c r="I26" s="549">
        <f t="shared" si="8"/>
        <v>-373402592.83999997</v>
      </c>
      <c r="J26" s="608">
        <f t="shared" si="2"/>
        <v>-0.17700578129623282</v>
      </c>
      <c r="K26" s="606">
        <f>K6+K10+K16+K20+K25</f>
        <v>5062923624</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1241</v>
      </c>
      <c r="B28" s="430"/>
      <c r="C28" s="654"/>
      <c r="D28" s="535"/>
      <c r="E28" s="48"/>
      <c r="F28" s="48"/>
      <c r="G28" s="48"/>
      <c r="H28" s="48"/>
      <c r="I28" s="48"/>
      <c r="J28" s="48"/>
      <c r="K28" s="388"/>
      <c r="L28" s="101"/>
      <c r="Q28" s="67"/>
    </row>
    <row r="29" spans="1:18" ht="12.75" customHeight="1" x14ac:dyDescent="0.2">
      <c r="A29" s="417" t="s">
        <v>144</v>
      </c>
      <c r="B29" s="431"/>
      <c r="C29" s="650">
        <f t="shared" ref="C29:H29" si="9">SUM(C30:C32)</f>
        <v>1937992927.6399999</v>
      </c>
      <c r="D29" s="678">
        <f t="shared" si="9"/>
        <v>1228897836</v>
      </c>
      <c r="E29" s="646">
        <f t="shared" si="9"/>
        <v>1226735836</v>
      </c>
      <c r="F29" s="646">
        <f t="shared" si="9"/>
        <v>105745341.1800001</v>
      </c>
      <c r="G29" s="646">
        <f t="shared" si="9"/>
        <v>548636070.31999993</v>
      </c>
      <c r="H29" s="646">
        <f t="shared" si="9"/>
        <v>511139931.66666669</v>
      </c>
      <c r="I29" s="48">
        <f t="shared" ref="I29:I48" si="10">G29-H29</f>
        <v>37496138.653333247</v>
      </c>
      <c r="J29" s="201">
        <f>IF(I29=0,"",I29/H29)</f>
        <v>7.3357873901712431E-2</v>
      </c>
      <c r="K29" s="650">
        <f>SUM(K30:K32)</f>
        <v>1228897836</v>
      </c>
      <c r="L29" s="101"/>
      <c r="Q29" s="70"/>
    </row>
    <row r="30" spans="1:18" ht="12.75" customHeight="1" x14ac:dyDescent="0.2">
      <c r="A30" s="419" t="s">
        <v>112</v>
      </c>
      <c r="B30" s="431"/>
      <c r="C30" s="651">
        <f>'C2C'!C130</f>
        <v>104806196.77000001</v>
      </c>
      <c r="D30" s="679">
        <f>'C2C'!D130</f>
        <v>330171120</v>
      </c>
      <c r="E30" s="411">
        <f>'C2C'!E130</f>
        <v>330507124</v>
      </c>
      <c r="F30" s="411">
        <f>'C2C'!F130</f>
        <v>7919516.3499999987</v>
      </c>
      <c r="G30" s="411">
        <f>'C2C'!G130</f>
        <v>47650151.339999996</v>
      </c>
      <c r="H30" s="411">
        <f>'C2C'!H130</f>
        <v>137711301.66666669</v>
      </c>
      <c r="I30" s="48">
        <f t="shared" si="10"/>
        <v>-90061150.326666683</v>
      </c>
      <c r="J30" s="201">
        <f t="shared" ref="J30:J49" si="11">IF(I30=0,"",I30/H30)</f>
        <v>-0.65398517940569412</v>
      </c>
      <c r="K30" s="651">
        <f>'C2C'!K130</f>
        <v>330171120</v>
      </c>
      <c r="L30" s="101"/>
      <c r="Q30" s="70"/>
    </row>
    <row r="31" spans="1:18" ht="12.75" customHeight="1" x14ac:dyDescent="0.2">
      <c r="A31" s="419" t="s">
        <v>1159</v>
      </c>
      <c r="B31" s="431"/>
      <c r="C31" s="652">
        <f>'C2C'!C133</f>
        <v>1825592258.9499998</v>
      </c>
      <c r="D31" s="680">
        <f>'C2C'!D133</f>
        <v>885212796</v>
      </c>
      <c r="E31" s="681">
        <f>'C2C'!E133</f>
        <v>882714792</v>
      </c>
      <c r="F31" s="681">
        <f>'C2C'!F133</f>
        <v>97027231.950000107</v>
      </c>
      <c r="G31" s="681">
        <f>'C2C'!G133</f>
        <v>495713215.07999998</v>
      </c>
      <c r="H31" s="681">
        <f>'C2C'!H133</f>
        <v>367797830</v>
      </c>
      <c r="I31" s="48">
        <f t="shared" si="10"/>
        <v>127915385.07999998</v>
      </c>
      <c r="J31" s="201">
        <f t="shared" si="11"/>
        <v>0.34778722071307483</v>
      </c>
      <c r="K31" s="682">
        <f>'C2C'!K133</f>
        <v>885212796</v>
      </c>
      <c r="L31" s="101"/>
      <c r="Q31" s="70"/>
    </row>
    <row r="32" spans="1:18" ht="12.75" customHeight="1" x14ac:dyDescent="0.2">
      <c r="A32" s="419" t="s">
        <v>1171</v>
      </c>
      <c r="B32" s="431"/>
      <c r="C32" s="651">
        <f>'C2C'!C148</f>
        <v>7594471.9199999999</v>
      </c>
      <c r="D32" s="679">
        <f>'C2C'!D148</f>
        <v>13513920</v>
      </c>
      <c r="E32" s="411">
        <f>'C2C'!E148</f>
        <v>13513920</v>
      </c>
      <c r="F32" s="411">
        <f>'C2C'!F148</f>
        <v>798592.88000000012</v>
      </c>
      <c r="G32" s="411">
        <f>'C2C'!G148</f>
        <v>5272703.8999999994</v>
      </c>
      <c r="H32" s="411">
        <f>'C2C'!H148</f>
        <v>5630800</v>
      </c>
      <c r="I32" s="48">
        <f t="shared" si="10"/>
        <v>-358096.10000000056</v>
      </c>
      <c r="J32" s="201">
        <f t="shared" si="11"/>
        <v>-6.3595954393691936E-2</v>
      </c>
      <c r="K32" s="651">
        <f>'C2C'!K148</f>
        <v>13513920</v>
      </c>
      <c r="L32" s="101"/>
      <c r="Q32" s="70"/>
    </row>
    <row r="33" spans="1:17" ht="12.75" customHeight="1" x14ac:dyDescent="0.2">
      <c r="A33" s="417" t="s">
        <v>113</v>
      </c>
      <c r="B33" s="431"/>
      <c r="C33" s="650">
        <f t="shared" ref="C33:H33" si="12">SUM(C34:C38)</f>
        <v>212715115.09999999</v>
      </c>
      <c r="D33" s="678">
        <f t="shared" si="12"/>
        <v>272800224</v>
      </c>
      <c r="E33" s="646">
        <f t="shared" si="12"/>
        <v>274424024</v>
      </c>
      <c r="F33" s="646">
        <f t="shared" si="12"/>
        <v>17776946.07</v>
      </c>
      <c r="G33" s="646">
        <f t="shared" si="12"/>
        <v>78465399.780000001</v>
      </c>
      <c r="H33" s="646">
        <f t="shared" si="12"/>
        <v>102911947.66666667</v>
      </c>
      <c r="I33" s="48">
        <f t="shared" si="10"/>
        <v>-24446547.88666667</v>
      </c>
      <c r="J33" s="201">
        <f t="shared" si="11"/>
        <v>-0.23754819961088874</v>
      </c>
      <c r="K33" s="650">
        <f>SUM(K34:K38)</f>
        <v>272800224</v>
      </c>
      <c r="L33" s="101"/>
      <c r="Q33" s="70"/>
    </row>
    <row r="34" spans="1:17" ht="12.75" customHeight="1" x14ac:dyDescent="0.2">
      <c r="A34" s="419" t="s">
        <v>114</v>
      </c>
      <c r="B34" s="431"/>
      <c r="C34" s="651">
        <f>'C2C'!C151</f>
        <v>66389373.119999997</v>
      </c>
      <c r="D34" s="679">
        <f>'C2C'!D151</f>
        <v>65851692</v>
      </c>
      <c r="E34" s="411">
        <f>'C2C'!E151</f>
        <v>67347108</v>
      </c>
      <c r="F34" s="411">
        <f>'C2C'!F151</f>
        <v>6246386.9900000002</v>
      </c>
      <c r="G34" s="411">
        <f>'C2C'!G151</f>
        <v>24843297.119999997</v>
      </c>
      <c r="H34" s="411">
        <f>'C2C'!H151</f>
        <v>28061295.000000004</v>
      </c>
      <c r="I34" s="48">
        <f t="shared" si="10"/>
        <v>-3217997.8800000064</v>
      </c>
      <c r="J34" s="201">
        <f t="shared" si="11"/>
        <v>-0.11467745447956004</v>
      </c>
      <c r="K34" s="651">
        <f>'C2C'!K151</f>
        <v>65851692</v>
      </c>
      <c r="L34" s="101"/>
      <c r="Q34" s="70"/>
    </row>
    <row r="35" spans="1:17" ht="12.75" customHeight="1" x14ac:dyDescent="0.2">
      <c r="A35" s="419" t="s">
        <v>115</v>
      </c>
      <c r="B35" s="431"/>
      <c r="C35" s="651">
        <f>'C2C'!C173</f>
        <v>85674383.310000002</v>
      </c>
      <c r="D35" s="679">
        <f>'C2C'!D173</f>
        <v>136536828</v>
      </c>
      <c r="E35" s="411">
        <f>'C2C'!E173</f>
        <v>136664812</v>
      </c>
      <c r="F35" s="411">
        <f>'C2C'!F173</f>
        <v>6874849.96</v>
      </c>
      <c r="G35" s="411">
        <f>'C2C'!G173</f>
        <v>28863185.419999994</v>
      </c>
      <c r="H35" s="411">
        <f>'C2C'!H173</f>
        <v>45512276</v>
      </c>
      <c r="I35" s="48">
        <f t="shared" si="10"/>
        <v>-16649090.580000006</v>
      </c>
      <c r="J35" s="201">
        <f t="shared" si="11"/>
        <v>-0.36581538088756549</v>
      </c>
      <c r="K35" s="651">
        <f>'C2C'!K173</f>
        <v>136536828</v>
      </c>
      <c r="L35" s="101"/>
      <c r="Q35" s="70"/>
    </row>
    <row r="36" spans="1:17" ht="12.75" customHeight="1" x14ac:dyDescent="0.2">
      <c r="A36" s="419" t="s">
        <v>116</v>
      </c>
      <c r="B36" s="429"/>
      <c r="C36" s="651">
        <f>'C2C'!C179</f>
        <v>56503947.349999994</v>
      </c>
      <c r="D36" s="679">
        <f>'C2C'!D179</f>
        <v>51197808</v>
      </c>
      <c r="E36" s="411">
        <f>'C2C'!E179</f>
        <v>51197808</v>
      </c>
      <c r="F36" s="411">
        <f>'C2C'!F179</f>
        <v>3466975.6099999994</v>
      </c>
      <c r="G36" s="411">
        <f>'C2C'!G179</f>
        <v>18609044.670000002</v>
      </c>
      <c r="H36" s="411">
        <f>'C2C'!H179</f>
        <v>21332420</v>
      </c>
      <c r="I36" s="48">
        <f t="shared" si="10"/>
        <v>-2723375.3299999982</v>
      </c>
      <c r="J36" s="201">
        <f t="shared" si="11"/>
        <v>-0.12766368419522953</v>
      </c>
      <c r="K36" s="651">
        <f>'C2C'!K179</f>
        <v>51197808</v>
      </c>
      <c r="L36" s="101"/>
      <c r="Q36" s="71"/>
    </row>
    <row r="37" spans="1:17" ht="12.75" customHeight="1" x14ac:dyDescent="0.2">
      <c r="A37" s="419" t="s">
        <v>733</v>
      </c>
      <c r="B37" s="429"/>
      <c r="C37" s="651">
        <f>'C2C'!C186</f>
        <v>589033.43000000005</v>
      </c>
      <c r="D37" s="679">
        <f>'C2C'!D186</f>
        <v>12573336</v>
      </c>
      <c r="E37" s="411">
        <f>'C2C'!E186</f>
        <v>12573736</v>
      </c>
      <c r="F37" s="411">
        <f>'C2C'!F186</f>
        <v>851638.61999999988</v>
      </c>
      <c r="G37" s="411">
        <f>'C2C'!G186</f>
        <v>4391120.8699999992</v>
      </c>
      <c r="H37" s="411">
        <f>'C2C'!H186</f>
        <v>5239056.666666667</v>
      </c>
      <c r="I37" s="48">
        <f t="shared" si="10"/>
        <v>-847935.7966666678</v>
      </c>
      <c r="J37" s="201">
        <f t="shared" si="11"/>
        <v>-0.1618489454526485</v>
      </c>
      <c r="K37" s="651">
        <f>'C2C'!K186</f>
        <v>12573336</v>
      </c>
      <c r="L37" s="101"/>
      <c r="Q37" s="71"/>
    </row>
    <row r="38" spans="1:17" ht="12.75" customHeight="1" x14ac:dyDescent="0.2">
      <c r="A38" s="419" t="s">
        <v>630</v>
      </c>
      <c r="B38" s="429"/>
      <c r="C38" s="652">
        <f>'C2C'!C189</f>
        <v>3558377.8899999997</v>
      </c>
      <c r="D38" s="680">
        <f>'C2C'!D189</f>
        <v>6640560</v>
      </c>
      <c r="E38" s="681">
        <f>'C2C'!E189</f>
        <v>6640560</v>
      </c>
      <c r="F38" s="681">
        <f>'C2C'!F189</f>
        <v>337094.88999999996</v>
      </c>
      <c r="G38" s="681">
        <f>'C2C'!G189</f>
        <v>1758751.7000000007</v>
      </c>
      <c r="H38" s="681">
        <f>'C2C'!H189</f>
        <v>2766900</v>
      </c>
      <c r="I38" s="48">
        <f t="shared" si="10"/>
        <v>-1008148.2999999993</v>
      </c>
      <c r="J38" s="201">
        <f t="shared" si="11"/>
        <v>-0.36436022263182599</v>
      </c>
      <c r="K38" s="682">
        <f>'C2C'!K189</f>
        <v>6640560</v>
      </c>
      <c r="L38" s="101"/>
      <c r="Q38" s="71"/>
    </row>
    <row r="39" spans="1:17" ht="12.75" customHeight="1" x14ac:dyDescent="0.2">
      <c r="A39" s="417" t="s">
        <v>117</v>
      </c>
      <c r="B39" s="429"/>
      <c r="C39" s="650">
        <f t="shared" ref="C39:H39" si="13">SUM(C40:C42)</f>
        <v>339575607.47000003</v>
      </c>
      <c r="D39" s="678">
        <f t="shared" si="13"/>
        <v>481477748</v>
      </c>
      <c r="E39" s="646">
        <f t="shared" si="13"/>
        <v>479788944</v>
      </c>
      <c r="F39" s="646">
        <f t="shared" si="13"/>
        <v>28119056.550000001</v>
      </c>
      <c r="G39" s="646">
        <f t="shared" si="13"/>
        <v>125728729.72</v>
      </c>
      <c r="H39" s="646">
        <f t="shared" si="13"/>
        <v>199912060</v>
      </c>
      <c r="I39" s="48">
        <f t="shared" si="10"/>
        <v>-74183330.280000001</v>
      </c>
      <c r="J39" s="201">
        <f t="shared" si="11"/>
        <v>-0.37107981519474115</v>
      </c>
      <c r="K39" s="650">
        <f>SUM(K40:K42)</f>
        <v>481477748</v>
      </c>
      <c r="L39" s="101"/>
      <c r="Q39" s="71"/>
    </row>
    <row r="40" spans="1:17" ht="12.75" customHeight="1" x14ac:dyDescent="0.2">
      <c r="A40" s="419" t="s">
        <v>118</v>
      </c>
      <c r="B40" s="429"/>
      <c r="C40" s="651">
        <f>'C2C'!C198</f>
        <v>109149443.87</v>
      </c>
      <c r="D40" s="679">
        <f>'C2C'!D198</f>
        <v>130112276</v>
      </c>
      <c r="E40" s="411">
        <f>'C2C'!E198</f>
        <v>128173272</v>
      </c>
      <c r="F40" s="411">
        <f>'C2C'!F198</f>
        <v>8618884.6000000015</v>
      </c>
      <c r="G40" s="411">
        <f>'C2C'!G198</f>
        <v>40224924.629999995</v>
      </c>
      <c r="H40" s="411">
        <f>'C2C'!H198</f>
        <v>53405530</v>
      </c>
      <c r="I40" s="48">
        <f t="shared" si="10"/>
        <v>-13180605.370000005</v>
      </c>
      <c r="J40" s="201">
        <f t="shared" si="11"/>
        <v>-0.24680225755647411</v>
      </c>
      <c r="K40" s="651">
        <f>'C2C'!K198</f>
        <v>130112276</v>
      </c>
      <c r="L40" s="101"/>
      <c r="Q40" s="71"/>
    </row>
    <row r="41" spans="1:17" ht="12.75" customHeight="1" x14ac:dyDescent="0.2">
      <c r="A41" s="419" t="s">
        <v>119</v>
      </c>
      <c r="B41" s="429"/>
      <c r="C41" s="651">
        <f>'C2C'!C209</f>
        <v>230055195.11000001</v>
      </c>
      <c r="D41" s="679">
        <f>'C2C'!D209</f>
        <v>331561800</v>
      </c>
      <c r="E41" s="411">
        <f>'C2C'!E209</f>
        <v>331562000</v>
      </c>
      <c r="F41" s="411">
        <f>'C2C'!F209</f>
        <v>18787172.5</v>
      </c>
      <c r="G41" s="411">
        <f>'C2C'!G209</f>
        <v>82904723.570000008</v>
      </c>
      <c r="H41" s="411">
        <f>'C2C'!H209</f>
        <v>138150833.33333334</v>
      </c>
      <c r="I41" s="48">
        <f t="shared" si="10"/>
        <v>-55246109.763333336</v>
      </c>
      <c r="J41" s="201">
        <f t="shared" si="11"/>
        <v>-0.39989704318347696</v>
      </c>
      <c r="K41" s="651">
        <f>'C2C'!K209</f>
        <v>331561800</v>
      </c>
      <c r="L41" s="101"/>
      <c r="Q41" s="71"/>
    </row>
    <row r="42" spans="1:17" ht="12.75" customHeight="1" x14ac:dyDescent="0.2">
      <c r="A42" s="419" t="s">
        <v>120</v>
      </c>
      <c r="B42" s="429"/>
      <c r="C42" s="651">
        <f>'C2C'!C216</f>
        <v>370968.49</v>
      </c>
      <c r="D42" s="679">
        <f>'C2C'!D216</f>
        <v>19803672</v>
      </c>
      <c r="E42" s="411">
        <f>'C2C'!E216</f>
        <v>20053672</v>
      </c>
      <c r="F42" s="411">
        <f>'C2C'!F216</f>
        <v>712999.44999999972</v>
      </c>
      <c r="G42" s="411">
        <f>'C2C'!G216</f>
        <v>2599081.5200000005</v>
      </c>
      <c r="H42" s="411">
        <f>'C2C'!H216</f>
        <v>8355696.666666666</v>
      </c>
      <c r="I42" s="48">
        <f t="shared" si="10"/>
        <v>-5756615.1466666656</v>
      </c>
      <c r="J42" s="201">
        <f t="shared" si="11"/>
        <v>-0.68894496489221513</v>
      </c>
      <c r="K42" s="651">
        <f>'C2C'!K216</f>
        <v>19803672</v>
      </c>
      <c r="L42" s="101"/>
      <c r="Q42" s="71"/>
    </row>
    <row r="43" spans="1:17" ht="12.75" customHeight="1" x14ac:dyDescent="0.2">
      <c r="A43" s="417" t="s">
        <v>121</v>
      </c>
      <c r="B43" s="429"/>
      <c r="C43" s="650">
        <f>SUM(C44:C47)</f>
        <v>1299005411.0699995</v>
      </c>
      <c r="D43" s="678">
        <f t="shared" ref="D43:I43" si="14">SUM(D44:D47)</f>
        <v>1566754708</v>
      </c>
      <c r="E43" s="646">
        <f t="shared" si="14"/>
        <v>1566755708</v>
      </c>
      <c r="F43" s="646">
        <f t="shared" si="14"/>
        <v>116579116.51000002</v>
      </c>
      <c r="G43" s="646">
        <f t="shared" si="14"/>
        <v>624768597.63999999</v>
      </c>
      <c r="H43" s="646">
        <f t="shared" si="14"/>
        <v>652814878.33333325</v>
      </c>
      <c r="I43" s="48">
        <f t="shared" si="14"/>
        <v>-28046280.693333272</v>
      </c>
      <c r="J43" s="201">
        <f t="shared" si="11"/>
        <v>-4.2962073359811788E-2</v>
      </c>
      <c r="K43" s="650">
        <f>SUM(K44:K47)</f>
        <v>1566754708</v>
      </c>
      <c r="L43" s="101"/>
      <c r="Q43" s="71"/>
    </row>
    <row r="44" spans="1:17" ht="12.75" customHeight="1" x14ac:dyDescent="0.2">
      <c r="A44" s="419" t="s">
        <v>1228</v>
      </c>
      <c r="B44" s="429"/>
      <c r="C44" s="651">
        <f>'C2C'!C224</f>
        <v>798519515.72999966</v>
      </c>
      <c r="D44" s="679">
        <f>'C2C'!D224</f>
        <v>961329108</v>
      </c>
      <c r="E44" s="411">
        <f>'C2C'!E224</f>
        <v>961329708</v>
      </c>
      <c r="F44" s="411">
        <f>'C2C'!F224</f>
        <v>70448380.400000021</v>
      </c>
      <c r="G44" s="411">
        <f>'C2C'!G224</f>
        <v>412281503.55000007</v>
      </c>
      <c r="H44" s="411">
        <f>'C2C'!H224</f>
        <v>400554045</v>
      </c>
      <c r="I44" s="48">
        <f t="shared" si="10"/>
        <v>11727458.550000072</v>
      </c>
      <c r="J44" s="201">
        <f t="shared" si="11"/>
        <v>2.9278092922517041E-2</v>
      </c>
      <c r="K44" s="651">
        <f>'C2C'!K224</f>
        <v>961329108</v>
      </c>
      <c r="L44" s="101"/>
      <c r="Q44" s="71"/>
    </row>
    <row r="45" spans="1:17" ht="12.75" customHeight="1" x14ac:dyDescent="0.2">
      <c r="A45" s="419" t="s">
        <v>1232</v>
      </c>
      <c r="B45" s="429"/>
      <c r="C45" s="651">
        <f>'C2C'!C228</f>
        <v>269795799.24000001</v>
      </c>
      <c r="D45" s="679">
        <f>'C2C'!D228</f>
        <v>398912628</v>
      </c>
      <c r="E45" s="411">
        <f>'C2C'!E228</f>
        <v>398912728</v>
      </c>
      <c r="F45" s="411">
        <f>'C2C'!F228</f>
        <v>28777246.400000002</v>
      </c>
      <c r="G45" s="411">
        <f>'C2C'!G228</f>
        <v>143513662.36999997</v>
      </c>
      <c r="H45" s="411">
        <f>'C2C'!H228</f>
        <v>166213636.66666666</v>
      </c>
      <c r="I45" s="48">
        <f t="shared" si="10"/>
        <v>-22699974.296666682</v>
      </c>
      <c r="J45" s="201">
        <f t="shared" si="11"/>
        <v>-0.13657107053250012</v>
      </c>
      <c r="K45" s="651">
        <f>'C2C'!K228</f>
        <v>398912628</v>
      </c>
      <c r="L45" s="101"/>
      <c r="Q45" s="71"/>
    </row>
    <row r="46" spans="1:17" ht="12.75" customHeight="1" x14ac:dyDescent="0.2">
      <c r="A46" s="419" t="s">
        <v>122</v>
      </c>
      <c r="B46" s="429"/>
      <c r="C46" s="652">
        <f>'C2C'!C232</f>
        <v>94000072.979999989</v>
      </c>
      <c r="D46" s="680">
        <f>'C2C'!D232</f>
        <v>77149276</v>
      </c>
      <c r="E46" s="681">
        <f>'C2C'!E232</f>
        <v>77149276</v>
      </c>
      <c r="F46" s="681">
        <f>'C2C'!F232</f>
        <v>6495061.8800000008</v>
      </c>
      <c r="G46" s="681">
        <f>'C2C'!G232</f>
        <v>24466146.809999991</v>
      </c>
      <c r="H46" s="681">
        <f>'C2C'!H232</f>
        <v>32145531.666666664</v>
      </c>
      <c r="I46" s="48">
        <f t="shared" si="10"/>
        <v>-7679384.856666673</v>
      </c>
      <c r="J46" s="201">
        <f t="shared" si="11"/>
        <v>-0.23889431776391545</v>
      </c>
      <c r="K46" s="682">
        <f>'C2C'!K232</f>
        <v>77149276</v>
      </c>
      <c r="L46" s="101"/>
      <c r="Q46" s="71"/>
    </row>
    <row r="47" spans="1:17" ht="12.75" customHeight="1" x14ac:dyDescent="0.2">
      <c r="A47" s="419" t="s">
        <v>123</v>
      </c>
      <c r="B47" s="429"/>
      <c r="C47" s="651">
        <f>'C2C'!C237</f>
        <v>136690023.11999997</v>
      </c>
      <c r="D47" s="679">
        <f>'C2C'!D237</f>
        <v>129363696</v>
      </c>
      <c r="E47" s="411">
        <f>'C2C'!E237</f>
        <v>129363996</v>
      </c>
      <c r="F47" s="411">
        <f>'C2C'!F237</f>
        <v>10858427.829999998</v>
      </c>
      <c r="G47" s="411">
        <f>'C2C'!G237</f>
        <v>44507284.910000011</v>
      </c>
      <c r="H47" s="411">
        <f>'C2C'!H237</f>
        <v>53901665</v>
      </c>
      <c r="I47" s="48">
        <f t="shared" si="10"/>
        <v>-9394380.0899999887</v>
      </c>
      <c r="J47" s="201">
        <f t="shared" si="11"/>
        <v>-0.17428738221722814</v>
      </c>
      <c r="K47" s="651">
        <f>'C2C'!K237</f>
        <v>129363696</v>
      </c>
      <c r="L47" s="101"/>
      <c r="Q47" s="71"/>
    </row>
    <row r="48" spans="1:17" ht="12.75" customHeight="1" x14ac:dyDescent="0.2">
      <c r="A48" s="417" t="s">
        <v>740</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1246</v>
      </c>
      <c r="B49" s="425">
        <v>3</v>
      </c>
      <c r="C49" s="609">
        <f>C29+C33+C39+C43+C48</f>
        <v>3789289061.2799997</v>
      </c>
      <c r="D49" s="607">
        <f t="shared" ref="D49:I49" si="15">D29+D33+D39+D43+D48</f>
        <v>3549930516</v>
      </c>
      <c r="E49" s="549">
        <f t="shared" si="15"/>
        <v>3547704512</v>
      </c>
      <c r="F49" s="549">
        <f t="shared" si="15"/>
        <v>268220460.31000012</v>
      </c>
      <c r="G49" s="549">
        <f t="shared" si="15"/>
        <v>1377598797.46</v>
      </c>
      <c r="H49" s="549">
        <f t="shared" si="15"/>
        <v>1466778817.6666665</v>
      </c>
      <c r="I49" s="549">
        <f t="shared" si="15"/>
        <v>-89180020.206666693</v>
      </c>
      <c r="J49" s="608">
        <f t="shared" si="11"/>
        <v>-6.0799910069967579E-2</v>
      </c>
      <c r="K49" s="730">
        <f>K29+K33+K39+K43+K48</f>
        <v>3549930516</v>
      </c>
      <c r="L49" s="101"/>
      <c r="Q49" s="76"/>
    </row>
    <row r="50" spans="1:17" ht="12.75" customHeight="1" x14ac:dyDescent="0.2">
      <c r="A50" s="95" t="s">
        <v>922</v>
      </c>
      <c r="B50" s="432"/>
      <c r="C50" s="544">
        <f t="shared" ref="C50:H50" si="16">C26-C49</f>
        <v>256354269.74000025</v>
      </c>
      <c r="D50" s="649">
        <f t="shared" si="16"/>
        <v>1512993108</v>
      </c>
      <c r="E50" s="643">
        <f t="shared" si="16"/>
        <v>1515219112</v>
      </c>
      <c r="F50" s="643">
        <f t="shared" si="16"/>
        <v>34719560.7299999</v>
      </c>
      <c r="G50" s="643">
        <f t="shared" si="16"/>
        <v>358548874.70000005</v>
      </c>
      <c r="H50" s="643">
        <f t="shared" si="16"/>
        <v>642771447.33333349</v>
      </c>
      <c r="I50" s="643">
        <f>I26-I49</f>
        <v>-284222572.63333327</v>
      </c>
      <c r="J50" s="647">
        <f>IF(I50=0,"",I50/H50)</f>
        <v>-0.44218294669510871</v>
      </c>
      <c r="K50" s="648">
        <f>K26-K49</f>
        <v>1512993108</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145</v>
      </c>
      <c r="B52" s="65"/>
      <c r="C52" s="80"/>
      <c r="D52" s="80"/>
      <c r="E52" s="80"/>
      <c r="F52" s="80"/>
      <c r="G52" s="80"/>
      <c r="H52" s="80"/>
      <c r="I52" s="80"/>
      <c r="J52" s="80"/>
      <c r="K52" s="80"/>
    </row>
    <row r="53" spans="1:17" ht="11.25" customHeight="1" x14ac:dyDescent="0.2">
      <c r="A53" s="61" t="s">
        <v>1247</v>
      </c>
      <c r="B53" s="65"/>
      <c r="C53" s="80"/>
      <c r="D53" s="80"/>
      <c r="E53" s="80"/>
      <c r="F53" s="80"/>
      <c r="G53" s="80"/>
      <c r="H53" s="80"/>
      <c r="I53" s="80"/>
      <c r="J53" s="80"/>
      <c r="K53" s="80"/>
    </row>
    <row r="54" spans="1:17" ht="11.25" customHeight="1" x14ac:dyDescent="0.2">
      <c r="A54" s="81" t="s">
        <v>1248</v>
      </c>
      <c r="B54" s="65"/>
      <c r="C54" s="80"/>
      <c r="D54" s="80"/>
      <c r="E54" s="80"/>
      <c r="F54" s="80"/>
      <c r="G54" s="80"/>
      <c r="H54" s="80"/>
      <c r="I54" s="80"/>
      <c r="J54" s="80"/>
      <c r="K54" s="80"/>
    </row>
    <row r="55" spans="1:17" ht="27.75" customHeight="1" x14ac:dyDescent="0.2">
      <c r="A55" s="1034" t="s">
        <v>1249</v>
      </c>
      <c r="B55" s="1034"/>
      <c r="C55" s="1034"/>
      <c r="D55" s="1034"/>
      <c r="E55" s="1034"/>
      <c r="F55" s="1034"/>
      <c r="G55" s="1034"/>
      <c r="H55" s="1034"/>
      <c r="I55" s="1034"/>
      <c r="J55" s="1034"/>
      <c r="K55" s="1034"/>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9" type="noConversion"/>
  <printOptions horizontalCentered="1"/>
  <pageMargins left="0.36" right="0.17" top="0.79" bottom="0.6" header="0.51181102362204722" footer="0.39"/>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zoomScale="115" zoomScaleNormal="115" workbookViewId="0">
      <pane xSplit="2" ySplit="4" topLeftCell="C200" activePane="bottomRight" state="frozen"/>
      <selection pane="topRight"/>
      <selection pane="bottomLeft"/>
      <selection pane="bottomRight" activeCell="H225" sqref="H225"/>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33" t="str">
        <f>muni&amp; " - "&amp;S71A&amp; " - "&amp;date</f>
        <v>LIM354 Polokwane - Table C2 Monthly Budget Statement - Financial Performance (functional classification) - M05 November</v>
      </c>
      <c r="B1" s="1033"/>
      <c r="C1" s="1033"/>
      <c r="D1" s="1033"/>
      <c r="E1" s="1033"/>
      <c r="F1" s="1033"/>
      <c r="G1" s="1033"/>
      <c r="H1" s="1033"/>
      <c r="I1" s="1033"/>
      <c r="J1" s="1033"/>
      <c r="K1" s="1033"/>
    </row>
    <row r="2" spans="1:12" ht="13.5" customHeight="1" x14ac:dyDescent="0.25">
      <c r="A2" s="1031" t="str">
        <f>desc</f>
        <v>Description</v>
      </c>
      <c r="B2" s="1029" t="str">
        <f>head27</f>
        <v>Ref</v>
      </c>
      <c r="C2" s="24" t="str">
        <f>Head1</f>
        <v>2018/19</v>
      </c>
      <c r="D2" s="232" t="str">
        <f>Head2</f>
        <v>Budget Year 2019/20</v>
      </c>
      <c r="E2" s="230"/>
      <c r="F2" s="230"/>
      <c r="G2" s="230"/>
      <c r="H2" s="230"/>
      <c r="I2" s="230"/>
      <c r="J2" s="230"/>
      <c r="K2" s="231"/>
    </row>
    <row r="3" spans="1:12" ht="20.399999999999999" x14ac:dyDescent="0.25">
      <c r="A3" s="1032"/>
      <c r="B3" s="1030"/>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40"/>
      <c r="J5" s="640"/>
      <c r="K5" s="227"/>
      <c r="L5" s="101"/>
    </row>
    <row r="6" spans="1:12" x14ac:dyDescent="0.25">
      <c r="A6" s="417" t="s">
        <v>166</v>
      </c>
      <c r="B6" s="418"/>
      <c r="C6" s="614">
        <f>C7+C10+C25</f>
        <v>2475483599.21</v>
      </c>
      <c r="D6" s="614">
        <f t="shared" ref="D6:K6" si="0">D7+D10+D25</f>
        <v>3150801864</v>
      </c>
      <c r="E6" s="614">
        <f t="shared" si="0"/>
        <v>3150801864</v>
      </c>
      <c r="F6" s="614">
        <f t="shared" si="0"/>
        <v>173044951.65000004</v>
      </c>
      <c r="G6" s="614">
        <f t="shared" si="0"/>
        <v>1031122777.9400001</v>
      </c>
      <c r="H6" s="614">
        <f t="shared" si="0"/>
        <v>1312833861</v>
      </c>
      <c r="I6" s="641">
        <f>G6-H6</f>
        <v>-281711083.05999994</v>
      </c>
      <c r="J6" s="642">
        <f>IF(I6=0,"",I6/H6)</f>
        <v>-0.21458243227015603</v>
      </c>
      <c r="K6" s="615">
        <f t="shared" si="0"/>
        <v>3150801864</v>
      </c>
      <c r="L6" s="101"/>
    </row>
    <row r="7" spans="1:12" x14ac:dyDescent="0.25">
      <c r="A7" s="616" t="s">
        <v>112</v>
      </c>
      <c r="B7" s="418"/>
      <c r="C7" s="617">
        <f>SUM(C8:C9)</f>
        <v>0</v>
      </c>
      <c r="D7" s="617">
        <f t="shared" ref="D7:K7" si="1">SUM(D8:D9)</f>
        <v>2003988</v>
      </c>
      <c r="E7" s="617">
        <f t="shared" si="1"/>
        <v>2003988</v>
      </c>
      <c r="F7" s="617">
        <f t="shared" si="1"/>
        <v>0</v>
      </c>
      <c r="G7" s="617">
        <f t="shared" si="1"/>
        <v>0</v>
      </c>
      <c r="H7" s="617">
        <f t="shared" si="1"/>
        <v>834663</v>
      </c>
      <c r="I7" s="617">
        <f t="shared" ref="I7:I124" si="2">G7-H7</f>
        <v>-834663</v>
      </c>
      <c r="J7" s="617">
        <f t="shared" ref="J7:J124" si="3">IF(I7=0,"",I7/H7)</f>
        <v>-1</v>
      </c>
      <c r="K7" s="619">
        <f t="shared" si="1"/>
        <v>2003988</v>
      </c>
      <c r="L7" s="101"/>
    </row>
    <row r="8" spans="1:12" x14ac:dyDescent="0.25">
      <c r="A8" s="704" t="s">
        <v>167</v>
      </c>
      <c r="B8" s="418"/>
      <c r="C8" s="743"/>
      <c r="D8" s="743">
        <v>2002992</v>
      </c>
      <c r="E8" s="743">
        <v>2002992</v>
      </c>
      <c r="F8" s="743">
        <v>0</v>
      </c>
      <c r="G8" s="743">
        <v>0</v>
      </c>
      <c r="H8" s="743">
        <f>E8/12*5</f>
        <v>834580</v>
      </c>
      <c r="I8" s="411">
        <f t="shared" si="2"/>
        <v>-834580</v>
      </c>
      <c r="J8" s="411">
        <f t="shared" si="3"/>
        <v>-1</v>
      </c>
      <c r="K8" s="745">
        <f>D8</f>
        <v>2002992</v>
      </c>
      <c r="L8" s="101"/>
    </row>
    <row r="9" spans="1:12" ht="20.399999999999999" x14ac:dyDescent="0.25">
      <c r="A9" s="704" t="s">
        <v>1158</v>
      </c>
      <c r="B9" s="418"/>
      <c r="C9" s="743"/>
      <c r="D9" s="743">
        <v>996</v>
      </c>
      <c r="E9" s="743">
        <v>996</v>
      </c>
      <c r="F9" s="743">
        <v>0</v>
      </c>
      <c r="G9" s="743">
        <v>0</v>
      </c>
      <c r="H9" s="743">
        <f>D9/12</f>
        <v>83</v>
      </c>
      <c r="I9" s="411">
        <f t="shared" si="2"/>
        <v>-83</v>
      </c>
      <c r="J9" s="411">
        <f t="shared" si="3"/>
        <v>-1</v>
      </c>
      <c r="K9" s="745">
        <f>D9</f>
        <v>996</v>
      </c>
      <c r="L9" s="101"/>
    </row>
    <row r="10" spans="1:12" x14ac:dyDescent="0.25">
      <c r="A10" s="616" t="s">
        <v>1159</v>
      </c>
      <c r="B10" s="418"/>
      <c r="C10" s="617">
        <f t="shared" ref="C10:H10" si="4">SUM(C11:C24)</f>
        <v>2475483599.21</v>
      </c>
      <c r="D10" s="617">
        <f>SUM(D11:D24)</f>
        <v>3148796880</v>
      </c>
      <c r="E10" s="617">
        <f t="shared" si="4"/>
        <v>3148797876</v>
      </c>
      <c r="F10" s="617">
        <f t="shared" si="4"/>
        <v>173044951.65000004</v>
      </c>
      <c r="G10" s="617">
        <f t="shared" si="4"/>
        <v>1031122777.9400001</v>
      </c>
      <c r="H10" s="617">
        <f t="shared" si="4"/>
        <v>1311999115</v>
      </c>
      <c r="I10" s="617">
        <f>G10-H10</f>
        <v>-280876337.05999994</v>
      </c>
      <c r="J10" s="617">
        <f>IF(I10=0,"",I10/H10)</f>
        <v>-0.21408271838658971</v>
      </c>
      <c r="K10" s="617">
        <f>SUM(K11:K24)</f>
        <v>3148796880</v>
      </c>
      <c r="L10" s="101"/>
    </row>
    <row r="11" spans="1:12" x14ac:dyDescent="0.25">
      <c r="A11" s="704" t="s">
        <v>1160</v>
      </c>
      <c r="B11" s="418"/>
      <c r="C11" s="743">
        <v>13247.42</v>
      </c>
      <c r="D11" s="743">
        <v>3984</v>
      </c>
      <c r="E11" s="743">
        <v>3984</v>
      </c>
      <c r="F11" s="743">
        <v>0</v>
      </c>
      <c r="G11" s="743">
        <v>0</v>
      </c>
      <c r="H11" s="743">
        <f t="shared" ref="H11:H24" si="5">E11/12*5</f>
        <v>1660</v>
      </c>
      <c r="I11" s="411">
        <f t="shared" ref="I11:I16" si="6">G11-H11</f>
        <v>-1660</v>
      </c>
      <c r="J11" s="411">
        <f t="shared" ref="J11:J16" si="7">IF(I11=0,"",I11/H11)</f>
        <v>-1</v>
      </c>
      <c r="K11" s="745">
        <f t="shared" ref="K11:K24" si="8">D11</f>
        <v>3984</v>
      </c>
      <c r="L11" s="101"/>
    </row>
    <row r="12" spans="1:12" x14ac:dyDescent="0.25">
      <c r="A12" s="704" t="s">
        <v>1161</v>
      </c>
      <c r="B12" s="418"/>
      <c r="C12" s="743">
        <v>0</v>
      </c>
      <c r="D12" s="743">
        <v>996</v>
      </c>
      <c r="E12" s="743">
        <v>996</v>
      </c>
      <c r="F12" s="743">
        <v>0</v>
      </c>
      <c r="G12" s="743">
        <v>0</v>
      </c>
      <c r="H12" s="743">
        <f t="shared" si="5"/>
        <v>415</v>
      </c>
      <c r="I12" s="411">
        <f t="shared" si="6"/>
        <v>-415</v>
      </c>
      <c r="J12" s="411">
        <f t="shared" si="7"/>
        <v>-1</v>
      </c>
      <c r="K12" s="745">
        <f t="shared" si="8"/>
        <v>996</v>
      </c>
      <c r="L12" s="101"/>
    </row>
    <row r="13" spans="1:12" x14ac:dyDescent="0.25">
      <c r="A13" s="704" t="s">
        <v>1162</v>
      </c>
      <c r="B13" s="418"/>
      <c r="C13" s="743">
        <v>2262912350.8499999</v>
      </c>
      <c r="D13" s="743">
        <v>3136358988</v>
      </c>
      <c r="E13" s="743">
        <v>3136359984</v>
      </c>
      <c r="F13" s="743">
        <v>151165234.69999999</v>
      </c>
      <c r="G13" s="743">
        <v>923315813.71000004</v>
      </c>
      <c r="H13" s="743">
        <f t="shared" si="5"/>
        <v>1306816660</v>
      </c>
      <c r="I13" s="411">
        <f t="shared" si="6"/>
        <v>-383500846.28999996</v>
      </c>
      <c r="J13" s="411">
        <f t="shared" si="7"/>
        <v>-0.29346185890375776</v>
      </c>
      <c r="K13" s="745">
        <f t="shared" si="8"/>
        <v>3136358988</v>
      </c>
      <c r="L13" s="101"/>
    </row>
    <row r="14" spans="1:12" x14ac:dyDescent="0.25">
      <c r="A14" s="704" t="s">
        <v>1163</v>
      </c>
      <c r="B14" s="418"/>
      <c r="C14" s="743">
        <v>26103302.260000002</v>
      </c>
      <c r="D14" s="743">
        <v>1992</v>
      </c>
      <c r="E14" s="743">
        <v>1992</v>
      </c>
      <c r="F14" s="743">
        <v>0</v>
      </c>
      <c r="G14" s="743">
        <v>0</v>
      </c>
      <c r="H14" s="743">
        <f t="shared" si="5"/>
        <v>830</v>
      </c>
      <c r="I14" s="411">
        <f t="shared" si="6"/>
        <v>-830</v>
      </c>
      <c r="J14" s="411">
        <f t="shared" si="7"/>
        <v>-1</v>
      </c>
      <c r="K14" s="745">
        <f t="shared" si="8"/>
        <v>1992</v>
      </c>
      <c r="L14" s="101"/>
    </row>
    <row r="15" spans="1:12" x14ac:dyDescent="0.25">
      <c r="A15" s="704" t="s">
        <v>1164</v>
      </c>
      <c r="B15" s="418"/>
      <c r="C15" s="743">
        <v>4049917.56</v>
      </c>
      <c r="D15" s="743">
        <v>5662956</v>
      </c>
      <c r="E15" s="743">
        <v>5662956</v>
      </c>
      <c r="F15" s="743">
        <v>0</v>
      </c>
      <c r="G15" s="743">
        <v>103.48</v>
      </c>
      <c r="H15" s="743">
        <f t="shared" si="5"/>
        <v>2359565</v>
      </c>
      <c r="I15" s="411">
        <f t="shared" si="6"/>
        <v>-2359461.52</v>
      </c>
      <c r="J15" s="411">
        <f t="shared" si="7"/>
        <v>-0.9999561444588303</v>
      </c>
      <c r="K15" s="745">
        <f t="shared" si="8"/>
        <v>5662956</v>
      </c>
      <c r="L15" s="101"/>
    </row>
    <row r="16" spans="1:12" x14ac:dyDescent="0.25">
      <c r="A16" s="704" t="s">
        <v>168</v>
      </c>
      <c r="B16" s="418"/>
      <c r="C16" s="743">
        <v>6897.46</v>
      </c>
      <c r="D16" s="743">
        <v>3000</v>
      </c>
      <c r="E16" s="743">
        <v>3000</v>
      </c>
      <c r="F16" s="743">
        <v>1029.83</v>
      </c>
      <c r="G16" s="743">
        <v>3009.83</v>
      </c>
      <c r="H16" s="743">
        <f t="shared" si="5"/>
        <v>1250</v>
      </c>
      <c r="I16" s="411">
        <f t="shared" si="6"/>
        <v>1759.83</v>
      </c>
      <c r="J16" s="411">
        <f t="shared" si="7"/>
        <v>1.407864</v>
      </c>
      <c r="K16" s="745">
        <f t="shared" si="8"/>
        <v>3000</v>
      </c>
      <c r="L16" s="101"/>
    </row>
    <row r="17" spans="1:12" x14ac:dyDescent="0.25">
      <c r="A17" s="704" t="s">
        <v>169</v>
      </c>
      <c r="B17" s="418"/>
      <c r="C17" s="743">
        <v>0</v>
      </c>
      <c r="D17" s="743">
        <v>996</v>
      </c>
      <c r="E17" s="743">
        <v>996</v>
      </c>
      <c r="F17" s="743">
        <v>0</v>
      </c>
      <c r="G17" s="743">
        <v>0</v>
      </c>
      <c r="H17" s="743">
        <f t="shared" si="5"/>
        <v>415</v>
      </c>
      <c r="I17" s="411">
        <f t="shared" ref="I17:I24" si="9">G17-H17</f>
        <v>-415</v>
      </c>
      <c r="J17" s="411">
        <f t="shared" ref="J17:J24" si="10">IF(I17=0,"",I17/H17)</f>
        <v>-1</v>
      </c>
      <c r="K17" s="745">
        <f t="shared" si="8"/>
        <v>996</v>
      </c>
      <c r="L17" s="101"/>
    </row>
    <row r="18" spans="1:12" x14ac:dyDescent="0.25">
      <c r="A18" s="704" t="s">
        <v>1165</v>
      </c>
      <c r="B18" s="418"/>
      <c r="C18" s="743">
        <v>0</v>
      </c>
      <c r="D18" s="743">
        <v>996</v>
      </c>
      <c r="E18" s="743">
        <v>996</v>
      </c>
      <c r="F18" s="743">
        <v>0</v>
      </c>
      <c r="G18" s="743">
        <v>0</v>
      </c>
      <c r="H18" s="743">
        <f t="shared" si="5"/>
        <v>415</v>
      </c>
      <c r="I18" s="411">
        <f t="shared" si="9"/>
        <v>-415</v>
      </c>
      <c r="J18" s="411">
        <f t="shared" si="10"/>
        <v>-1</v>
      </c>
      <c r="K18" s="745">
        <f t="shared" si="8"/>
        <v>996</v>
      </c>
      <c r="L18" s="101"/>
    </row>
    <row r="19" spans="1:12" ht="20.399999999999999" x14ac:dyDescent="0.25">
      <c r="A19" s="704" t="s">
        <v>1166</v>
      </c>
      <c r="B19" s="418"/>
      <c r="C19" s="743">
        <v>-19521678.440000001</v>
      </c>
      <c r="D19" s="743">
        <v>1992</v>
      </c>
      <c r="E19" s="743">
        <v>1992</v>
      </c>
      <c r="F19" s="743">
        <v>138921.82999999999</v>
      </c>
      <c r="G19" s="743">
        <v>2460100.64</v>
      </c>
      <c r="H19" s="743">
        <f t="shared" si="5"/>
        <v>830</v>
      </c>
      <c r="I19" s="411">
        <f t="shared" si="9"/>
        <v>2459270.64</v>
      </c>
      <c r="J19" s="411">
        <f t="shared" si="10"/>
        <v>2962.9766746987953</v>
      </c>
      <c r="K19" s="745">
        <f t="shared" si="8"/>
        <v>1992</v>
      </c>
      <c r="L19" s="101"/>
    </row>
    <row r="20" spans="1:12" x14ac:dyDescent="0.25">
      <c r="A20" s="704" t="s">
        <v>170</v>
      </c>
      <c r="B20" s="418"/>
      <c r="C20" s="743">
        <v>0</v>
      </c>
      <c r="D20" s="743">
        <v>996</v>
      </c>
      <c r="E20" s="743">
        <v>996</v>
      </c>
      <c r="F20" s="743">
        <v>0</v>
      </c>
      <c r="G20" s="743">
        <v>0</v>
      </c>
      <c r="H20" s="743">
        <f t="shared" si="5"/>
        <v>415</v>
      </c>
      <c r="I20" s="411">
        <f t="shared" si="9"/>
        <v>-415</v>
      </c>
      <c r="J20" s="411">
        <f t="shared" si="10"/>
        <v>-1</v>
      </c>
      <c r="K20" s="745">
        <f t="shared" si="8"/>
        <v>996</v>
      </c>
      <c r="L20" s="101"/>
    </row>
    <row r="21" spans="1:12" x14ac:dyDescent="0.25">
      <c r="A21" s="704" t="s">
        <v>1167</v>
      </c>
      <c r="B21" s="418"/>
      <c r="C21" s="743">
        <v>146432.06999999998</v>
      </c>
      <c r="D21" s="743">
        <v>14988</v>
      </c>
      <c r="E21" s="743">
        <v>14988</v>
      </c>
      <c r="F21" s="743">
        <v>42304.4</v>
      </c>
      <c r="G21" s="743">
        <v>82221.75</v>
      </c>
      <c r="H21" s="743">
        <f t="shared" si="5"/>
        <v>6245</v>
      </c>
      <c r="I21" s="411">
        <f t="shared" si="9"/>
        <v>75976.75</v>
      </c>
      <c r="J21" s="411">
        <f t="shared" si="10"/>
        <v>12.166012810248198</v>
      </c>
      <c r="K21" s="745">
        <f t="shared" si="8"/>
        <v>14988</v>
      </c>
      <c r="L21" s="101"/>
    </row>
    <row r="22" spans="1:12" x14ac:dyDescent="0.25">
      <c r="A22" s="704" t="s">
        <v>1168</v>
      </c>
      <c r="B22" s="418"/>
      <c r="C22" s="743">
        <v>-3015910.3200000003</v>
      </c>
      <c r="D22" s="743">
        <v>6744996</v>
      </c>
      <c r="E22" s="743">
        <v>6744996</v>
      </c>
      <c r="F22" s="743">
        <v>1860.34</v>
      </c>
      <c r="G22" s="743">
        <v>12219.84</v>
      </c>
      <c r="H22" s="743">
        <f t="shared" si="5"/>
        <v>2810415</v>
      </c>
      <c r="I22" s="411">
        <f t="shared" si="9"/>
        <v>-2798195.16</v>
      </c>
      <c r="J22" s="411">
        <f t="shared" si="10"/>
        <v>-0.99565194464162776</v>
      </c>
      <c r="K22" s="745">
        <f t="shared" si="8"/>
        <v>6744996</v>
      </c>
      <c r="L22" s="101"/>
    </row>
    <row r="23" spans="1:12" x14ac:dyDescent="0.25">
      <c r="A23" s="704" t="s">
        <v>1169</v>
      </c>
      <c r="B23" s="418"/>
      <c r="C23" s="743">
        <v>204789040.34999999</v>
      </c>
      <c r="D23" s="743">
        <v>0</v>
      </c>
      <c r="E23" s="743">
        <v>0</v>
      </c>
      <c r="F23" s="743">
        <v>21695600.549999997</v>
      </c>
      <c r="G23" s="743">
        <v>105249308.69</v>
      </c>
      <c r="H23" s="743">
        <f t="shared" si="5"/>
        <v>0</v>
      </c>
      <c r="I23" s="411">
        <f t="shared" si="9"/>
        <v>105249308.69</v>
      </c>
      <c r="J23" s="411" t="e">
        <f t="shared" si="10"/>
        <v>#DIV/0!</v>
      </c>
      <c r="K23" s="745">
        <f t="shared" si="8"/>
        <v>0</v>
      </c>
      <c r="L23" s="101"/>
    </row>
    <row r="24" spans="1:12" x14ac:dyDescent="0.25">
      <c r="A24" s="704" t="s">
        <v>1170</v>
      </c>
      <c r="B24" s="418"/>
      <c r="C24" s="743"/>
      <c r="D24" s="743"/>
      <c r="E24" s="743">
        <v>0</v>
      </c>
      <c r="F24" s="743"/>
      <c r="G24" s="743"/>
      <c r="H24" s="743">
        <f t="shared" si="5"/>
        <v>0</v>
      </c>
      <c r="I24" s="411">
        <f t="shared" si="9"/>
        <v>0</v>
      </c>
      <c r="J24" s="411" t="str">
        <f t="shared" si="10"/>
        <v/>
      </c>
      <c r="K24" s="745">
        <f t="shared" si="8"/>
        <v>0</v>
      </c>
      <c r="L24" s="101"/>
    </row>
    <row r="25" spans="1:12" x14ac:dyDescent="0.25">
      <c r="A25" s="616" t="s">
        <v>1171</v>
      </c>
      <c r="B25" s="418"/>
      <c r="C25" s="617">
        <f t="shared" ref="C25:H25" si="11">SUM(C26:C26)</f>
        <v>0</v>
      </c>
      <c r="D25" s="617">
        <f t="shared" si="11"/>
        <v>996</v>
      </c>
      <c r="E25" s="617">
        <f t="shared" si="11"/>
        <v>0</v>
      </c>
      <c r="F25" s="617">
        <f t="shared" si="11"/>
        <v>0</v>
      </c>
      <c r="G25" s="617">
        <f t="shared" si="11"/>
        <v>0</v>
      </c>
      <c r="H25" s="617">
        <f t="shared" si="11"/>
        <v>83</v>
      </c>
      <c r="I25" s="617">
        <f t="shared" si="2"/>
        <v>-83</v>
      </c>
      <c r="J25" s="617">
        <f t="shared" si="3"/>
        <v>-1</v>
      </c>
      <c r="K25" s="619">
        <f>SUM(K26:K26)</f>
        <v>996</v>
      </c>
      <c r="L25" s="101"/>
    </row>
    <row r="26" spans="1:12" x14ac:dyDescent="0.25">
      <c r="A26" s="704" t="s">
        <v>1172</v>
      </c>
      <c r="B26" s="418"/>
      <c r="C26" s="743">
        <v>0</v>
      </c>
      <c r="D26" s="743">
        <v>996</v>
      </c>
      <c r="E26" s="743">
        <v>0</v>
      </c>
      <c r="F26" s="743">
        <v>0</v>
      </c>
      <c r="G26" s="743">
        <v>0</v>
      </c>
      <c r="H26" s="743">
        <f>D26/12</f>
        <v>83</v>
      </c>
      <c r="I26" s="411">
        <f t="shared" si="2"/>
        <v>-83</v>
      </c>
      <c r="J26" s="411">
        <f t="shared" si="3"/>
        <v>-1</v>
      </c>
      <c r="K26" s="745">
        <f>D26</f>
        <v>996</v>
      </c>
      <c r="L26" s="101"/>
    </row>
    <row r="27" spans="1:12" x14ac:dyDescent="0.25">
      <c r="A27" s="417" t="s">
        <v>113</v>
      </c>
      <c r="B27" s="418"/>
      <c r="C27" s="614">
        <f>C28+C50+C56+C63+C66</f>
        <v>27865151.939999994</v>
      </c>
      <c r="D27" s="614">
        <f t="shared" ref="D27:K27" si="12">D28+D50+D56+D63+D66</f>
        <v>22790892</v>
      </c>
      <c r="E27" s="614">
        <f t="shared" si="12"/>
        <v>22790892</v>
      </c>
      <c r="F27" s="614">
        <f t="shared" si="12"/>
        <v>944466.55</v>
      </c>
      <c r="G27" s="614">
        <f t="shared" si="12"/>
        <v>3673902.61</v>
      </c>
      <c r="H27" s="614">
        <f t="shared" si="12"/>
        <v>9495209</v>
      </c>
      <c r="I27" s="614">
        <f t="shared" si="2"/>
        <v>-5821306.3900000006</v>
      </c>
      <c r="J27" s="614">
        <f t="shared" si="3"/>
        <v>-0.61307827874036269</v>
      </c>
      <c r="K27" s="615">
        <f t="shared" si="12"/>
        <v>22790892</v>
      </c>
      <c r="L27" s="101"/>
    </row>
    <row r="28" spans="1:12" x14ac:dyDescent="0.25">
      <c r="A28" s="616" t="s">
        <v>114</v>
      </c>
      <c r="B28" s="418"/>
      <c r="C28" s="620">
        <f t="shared" ref="C28:H28" si="13">SUM(C29:C49)</f>
        <v>294893.93</v>
      </c>
      <c r="D28" s="620">
        <f t="shared" si="13"/>
        <v>1700964</v>
      </c>
      <c r="E28" s="620">
        <f t="shared" si="13"/>
        <v>1700964</v>
      </c>
      <c r="F28" s="620">
        <f>SUM(F29:F49)</f>
        <v>129860.41</v>
      </c>
      <c r="G28" s="620">
        <f>SUM(G29:G49)</f>
        <v>994548.1</v>
      </c>
      <c r="H28" s="620">
        <f t="shared" si="13"/>
        <v>708735</v>
      </c>
      <c r="I28" s="620">
        <f t="shared" si="2"/>
        <v>285813.09999999998</v>
      </c>
      <c r="J28" s="620">
        <f t="shared" si="3"/>
        <v>0.40327216801766524</v>
      </c>
      <c r="K28" s="620">
        <f>SUM(K29:K49)</f>
        <v>1700964</v>
      </c>
      <c r="L28" s="101"/>
    </row>
    <row r="29" spans="1:12" x14ac:dyDescent="0.25">
      <c r="A29" s="704" t="s">
        <v>172</v>
      </c>
      <c r="B29" s="418"/>
      <c r="C29" s="743">
        <v>0</v>
      </c>
      <c r="D29" s="743">
        <v>0</v>
      </c>
      <c r="E29" s="743">
        <v>0</v>
      </c>
      <c r="F29" s="743">
        <v>0</v>
      </c>
      <c r="G29" s="743">
        <v>0</v>
      </c>
      <c r="H29" s="743">
        <f t="shared" ref="H29:H49" si="14">E29/12*5</f>
        <v>0</v>
      </c>
      <c r="I29" s="411">
        <f t="shared" ref="I29:I49" si="15">G29-H29</f>
        <v>0</v>
      </c>
      <c r="J29" s="411" t="str">
        <f t="shared" ref="J29:J35" si="16">IF(I29=0,"",I29/H29)</f>
        <v/>
      </c>
      <c r="K29" s="745">
        <f t="shared" ref="K29:K49" si="17">D29</f>
        <v>0</v>
      </c>
      <c r="L29" s="101"/>
    </row>
    <row r="30" spans="1:12" x14ac:dyDescent="0.25">
      <c r="A30" s="704" t="s">
        <v>734</v>
      </c>
      <c r="B30" s="418"/>
      <c r="C30" s="743">
        <v>0</v>
      </c>
      <c r="D30" s="743">
        <v>0</v>
      </c>
      <c r="E30" s="743">
        <v>0</v>
      </c>
      <c r="F30" s="743">
        <v>0</v>
      </c>
      <c r="G30" s="743">
        <v>0</v>
      </c>
      <c r="H30" s="743">
        <f t="shared" si="14"/>
        <v>0</v>
      </c>
      <c r="I30" s="411">
        <f t="shared" si="15"/>
        <v>0</v>
      </c>
      <c r="J30" s="411" t="str">
        <f t="shared" si="16"/>
        <v/>
      </c>
      <c r="K30" s="745">
        <f t="shared" si="17"/>
        <v>0</v>
      </c>
      <c r="L30" s="101"/>
    </row>
    <row r="31" spans="1:12" x14ac:dyDescent="0.25">
      <c r="A31" s="704" t="s">
        <v>1174</v>
      </c>
      <c r="B31" s="418"/>
      <c r="C31" s="743">
        <v>0</v>
      </c>
      <c r="D31" s="743">
        <v>0</v>
      </c>
      <c r="E31" s="743">
        <v>0</v>
      </c>
      <c r="F31" s="743">
        <v>0</v>
      </c>
      <c r="G31" s="743">
        <v>0</v>
      </c>
      <c r="H31" s="743">
        <f t="shared" si="14"/>
        <v>0</v>
      </c>
      <c r="I31" s="411">
        <f t="shared" si="15"/>
        <v>0</v>
      </c>
      <c r="J31" s="411" t="str">
        <f t="shared" si="16"/>
        <v/>
      </c>
      <c r="K31" s="745">
        <f t="shared" si="17"/>
        <v>0</v>
      </c>
      <c r="L31" s="101"/>
    </row>
    <row r="32" spans="1:12" x14ac:dyDescent="0.25">
      <c r="A32" s="704" t="s">
        <v>1175</v>
      </c>
      <c r="B32" s="418"/>
      <c r="C32" s="743">
        <v>1048737.02</v>
      </c>
      <c r="D32" s="743">
        <v>1125996</v>
      </c>
      <c r="E32" s="743">
        <v>1125996</v>
      </c>
      <c r="F32" s="743">
        <v>76326.16</v>
      </c>
      <c r="G32" s="743">
        <v>495542.85</v>
      </c>
      <c r="H32" s="743">
        <f t="shared" si="14"/>
        <v>469165</v>
      </c>
      <c r="I32" s="411">
        <f t="shared" si="15"/>
        <v>26377.849999999977</v>
      </c>
      <c r="J32" s="411">
        <f t="shared" si="16"/>
        <v>5.6222970596698341E-2</v>
      </c>
      <c r="K32" s="745">
        <f t="shared" si="17"/>
        <v>1125996</v>
      </c>
      <c r="L32" s="101"/>
    </row>
    <row r="33" spans="1:12" x14ac:dyDescent="0.25">
      <c r="A33" s="704" t="s">
        <v>1176</v>
      </c>
      <c r="B33" s="418"/>
      <c r="C33" s="743">
        <v>0</v>
      </c>
      <c r="D33" s="743">
        <v>0</v>
      </c>
      <c r="E33" s="743">
        <v>0</v>
      </c>
      <c r="F33" s="743">
        <v>0</v>
      </c>
      <c r="G33" s="743">
        <v>0</v>
      </c>
      <c r="H33" s="743">
        <f t="shared" si="14"/>
        <v>0</v>
      </c>
      <c r="I33" s="411">
        <f t="shared" si="15"/>
        <v>0</v>
      </c>
      <c r="J33" s="411" t="str">
        <f t="shared" si="16"/>
        <v/>
      </c>
      <c r="K33" s="745">
        <f t="shared" si="17"/>
        <v>0</v>
      </c>
      <c r="L33" s="101"/>
    </row>
    <row r="34" spans="1:12" x14ac:dyDescent="0.25">
      <c r="A34" s="704" t="s">
        <v>1177</v>
      </c>
      <c r="B34" s="418"/>
      <c r="C34" s="743">
        <v>-987717.64</v>
      </c>
      <c r="D34" s="743">
        <v>996</v>
      </c>
      <c r="E34" s="743">
        <v>996</v>
      </c>
      <c r="F34" s="743">
        <v>46982.11</v>
      </c>
      <c r="G34" s="743">
        <v>268341.8</v>
      </c>
      <c r="H34" s="743">
        <f t="shared" si="14"/>
        <v>415</v>
      </c>
      <c r="I34" s="411">
        <f t="shared" si="15"/>
        <v>267926.8</v>
      </c>
      <c r="J34" s="411">
        <f t="shared" si="16"/>
        <v>645.60674698795174</v>
      </c>
      <c r="K34" s="745">
        <f t="shared" si="17"/>
        <v>996</v>
      </c>
      <c r="L34" s="101"/>
    </row>
    <row r="35" spans="1:12" x14ac:dyDescent="0.25">
      <c r="A35" s="704" t="s">
        <v>1178</v>
      </c>
      <c r="B35" s="418"/>
      <c r="C35" s="743">
        <v>0</v>
      </c>
      <c r="D35" s="743">
        <v>0</v>
      </c>
      <c r="E35" s="743">
        <v>0</v>
      </c>
      <c r="F35" s="743">
        <v>0</v>
      </c>
      <c r="G35" s="743">
        <v>0</v>
      </c>
      <c r="H35" s="743">
        <f t="shared" si="14"/>
        <v>0</v>
      </c>
      <c r="I35" s="411">
        <f t="shared" si="15"/>
        <v>0</v>
      </c>
      <c r="J35" s="411" t="str">
        <f t="shared" si="16"/>
        <v/>
      </c>
      <c r="K35" s="745">
        <f t="shared" si="17"/>
        <v>0</v>
      </c>
      <c r="L35" s="101"/>
    </row>
    <row r="36" spans="1:12" x14ac:dyDescent="0.25">
      <c r="A36" s="704" t="s">
        <v>1179</v>
      </c>
      <c r="B36" s="418"/>
      <c r="C36" s="743">
        <v>0</v>
      </c>
      <c r="D36" s="743">
        <v>1992</v>
      </c>
      <c r="E36" s="743">
        <v>1992</v>
      </c>
      <c r="F36" s="743">
        <v>0</v>
      </c>
      <c r="G36" s="743">
        <v>0</v>
      </c>
      <c r="H36" s="743">
        <f t="shared" si="14"/>
        <v>830</v>
      </c>
      <c r="I36" s="411">
        <f t="shared" si="15"/>
        <v>-830</v>
      </c>
      <c r="J36" s="411">
        <f t="shared" ref="J36:J41" si="18">IF(I36=0,"",I36/H36)</f>
        <v>-1</v>
      </c>
      <c r="K36" s="745">
        <f t="shared" si="17"/>
        <v>1992</v>
      </c>
      <c r="L36" s="101"/>
    </row>
    <row r="37" spans="1:12" x14ac:dyDescent="0.25">
      <c r="A37" s="704" t="s">
        <v>1180</v>
      </c>
      <c r="B37" s="418"/>
      <c r="C37" s="743">
        <v>0</v>
      </c>
      <c r="D37" s="743">
        <v>996</v>
      </c>
      <c r="E37" s="743">
        <v>996</v>
      </c>
      <c r="F37" s="743">
        <v>0</v>
      </c>
      <c r="G37" s="743">
        <v>0</v>
      </c>
      <c r="H37" s="743">
        <f t="shared" si="14"/>
        <v>415</v>
      </c>
      <c r="I37" s="411">
        <f t="shared" si="15"/>
        <v>-415</v>
      </c>
      <c r="J37" s="411">
        <f t="shared" si="18"/>
        <v>-1</v>
      </c>
      <c r="K37" s="745">
        <f t="shared" si="17"/>
        <v>996</v>
      </c>
      <c r="L37" s="101"/>
    </row>
    <row r="38" spans="1:12" x14ac:dyDescent="0.25">
      <c r="A38" s="704" t="s">
        <v>1034</v>
      </c>
      <c r="B38" s="418"/>
      <c r="C38" s="743">
        <v>0</v>
      </c>
      <c r="D38" s="743">
        <v>0</v>
      </c>
      <c r="E38" s="743">
        <v>0</v>
      </c>
      <c r="F38" s="743">
        <v>0</v>
      </c>
      <c r="G38" s="743">
        <v>0</v>
      </c>
      <c r="H38" s="743">
        <f t="shared" si="14"/>
        <v>0</v>
      </c>
      <c r="I38" s="411">
        <f t="shared" si="15"/>
        <v>0</v>
      </c>
      <c r="J38" s="411" t="str">
        <f t="shared" si="18"/>
        <v/>
      </c>
      <c r="K38" s="745">
        <f t="shared" si="17"/>
        <v>0</v>
      </c>
      <c r="L38" s="101"/>
    </row>
    <row r="39" spans="1:12" x14ac:dyDescent="0.25">
      <c r="A39" s="704" t="s">
        <v>1181</v>
      </c>
      <c r="B39" s="418"/>
      <c r="C39" s="743">
        <v>0</v>
      </c>
      <c r="D39" s="743">
        <v>0</v>
      </c>
      <c r="E39" s="743">
        <v>0</v>
      </c>
      <c r="F39" s="743">
        <v>0</v>
      </c>
      <c r="G39" s="743">
        <v>0</v>
      </c>
      <c r="H39" s="743">
        <f t="shared" si="14"/>
        <v>0</v>
      </c>
      <c r="I39" s="411">
        <f t="shared" si="15"/>
        <v>0</v>
      </c>
      <c r="J39" s="411" t="str">
        <f t="shared" si="18"/>
        <v/>
      </c>
      <c r="K39" s="745">
        <f t="shared" si="17"/>
        <v>0</v>
      </c>
      <c r="L39" s="101"/>
    </row>
    <row r="40" spans="1:12" x14ac:dyDescent="0.25">
      <c r="A40" s="704" t="s">
        <v>1182</v>
      </c>
      <c r="B40" s="418"/>
      <c r="C40" s="743">
        <v>0</v>
      </c>
      <c r="D40" s="743">
        <v>0</v>
      </c>
      <c r="E40" s="743">
        <v>0</v>
      </c>
      <c r="F40" s="743">
        <v>0</v>
      </c>
      <c r="G40" s="743">
        <v>0</v>
      </c>
      <c r="H40" s="743">
        <f t="shared" si="14"/>
        <v>0</v>
      </c>
      <c r="I40" s="411">
        <f t="shared" si="15"/>
        <v>0</v>
      </c>
      <c r="J40" s="411" t="str">
        <f t="shared" si="18"/>
        <v/>
      </c>
      <c r="K40" s="745">
        <f t="shared" si="17"/>
        <v>0</v>
      </c>
      <c r="L40" s="101"/>
    </row>
    <row r="41" spans="1:12" x14ac:dyDescent="0.25">
      <c r="A41" s="704" t="s">
        <v>1183</v>
      </c>
      <c r="B41" s="418"/>
      <c r="C41" s="743">
        <v>0</v>
      </c>
      <c r="D41" s="743">
        <v>0</v>
      </c>
      <c r="E41" s="743">
        <v>0</v>
      </c>
      <c r="F41" s="743">
        <v>0</v>
      </c>
      <c r="G41" s="743">
        <v>0</v>
      </c>
      <c r="H41" s="743">
        <f t="shared" si="14"/>
        <v>0</v>
      </c>
      <c r="I41" s="411">
        <f t="shared" si="15"/>
        <v>0</v>
      </c>
      <c r="J41" s="411" t="str">
        <f t="shared" si="18"/>
        <v/>
      </c>
      <c r="K41" s="745">
        <f t="shared" si="17"/>
        <v>0</v>
      </c>
      <c r="L41" s="101"/>
    </row>
    <row r="42" spans="1:12" x14ac:dyDescent="0.25">
      <c r="A42" s="704" t="s">
        <v>171</v>
      </c>
      <c r="B42" s="418"/>
      <c r="C42" s="743">
        <v>145529.10999999999</v>
      </c>
      <c r="D42" s="743">
        <v>359988</v>
      </c>
      <c r="E42" s="743">
        <v>359988</v>
      </c>
      <c r="F42" s="743">
        <v>2284.31</v>
      </c>
      <c r="G42" s="743">
        <v>141429.53</v>
      </c>
      <c r="H42" s="743">
        <f t="shared" si="14"/>
        <v>149995</v>
      </c>
      <c r="I42" s="411">
        <f t="shared" si="15"/>
        <v>-8565.4700000000012</v>
      </c>
      <c r="J42" s="411">
        <f t="shared" si="3"/>
        <v>-5.7105036834561161E-2</v>
      </c>
      <c r="K42" s="745">
        <f t="shared" si="17"/>
        <v>359988</v>
      </c>
      <c r="L42" s="101"/>
    </row>
    <row r="43" spans="1:12" x14ac:dyDescent="0.25">
      <c r="A43" s="704" t="s">
        <v>1184</v>
      </c>
      <c r="B43" s="418"/>
      <c r="C43" s="743">
        <v>0</v>
      </c>
      <c r="D43" s="743">
        <v>0</v>
      </c>
      <c r="E43" s="743">
        <v>0</v>
      </c>
      <c r="F43" s="743">
        <v>0</v>
      </c>
      <c r="G43" s="743">
        <v>0</v>
      </c>
      <c r="H43" s="743">
        <f t="shared" si="14"/>
        <v>0</v>
      </c>
      <c r="I43" s="411">
        <f t="shared" si="15"/>
        <v>0</v>
      </c>
      <c r="J43" s="411" t="str">
        <f t="shared" si="3"/>
        <v/>
      </c>
      <c r="K43" s="745">
        <f t="shared" si="17"/>
        <v>0</v>
      </c>
      <c r="L43" s="101"/>
    </row>
    <row r="44" spans="1:12" x14ac:dyDescent="0.25">
      <c r="A44" s="704" t="s">
        <v>1185</v>
      </c>
      <c r="B44" s="418"/>
      <c r="C44" s="743">
        <v>0</v>
      </c>
      <c r="D44" s="743">
        <v>0</v>
      </c>
      <c r="E44" s="743">
        <v>0</v>
      </c>
      <c r="F44" s="743">
        <v>0</v>
      </c>
      <c r="G44" s="743">
        <v>0</v>
      </c>
      <c r="H44" s="743">
        <f t="shared" si="14"/>
        <v>0</v>
      </c>
      <c r="I44" s="411">
        <f t="shared" si="15"/>
        <v>0</v>
      </c>
      <c r="J44" s="411" t="str">
        <f t="shared" si="3"/>
        <v/>
      </c>
      <c r="K44" s="745">
        <f t="shared" si="17"/>
        <v>0</v>
      </c>
      <c r="L44" s="101"/>
    </row>
    <row r="45" spans="1:12" x14ac:dyDescent="0.25">
      <c r="A45" s="704" t="s">
        <v>1186</v>
      </c>
      <c r="B45" s="418"/>
      <c r="C45" s="743">
        <v>88345.440000000017</v>
      </c>
      <c r="D45" s="743">
        <v>210996</v>
      </c>
      <c r="E45" s="743">
        <v>210996</v>
      </c>
      <c r="F45" s="743">
        <v>4267.83</v>
      </c>
      <c r="G45" s="743">
        <v>89233.919999999998</v>
      </c>
      <c r="H45" s="743">
        <f t="shared" si="14"/>
        <v>87915</v>
      </c>
      <c r="I45" s="411">
        <f t="shared" si="15"/>
        <v>1318.9199999999983</v>
      </c>
      <c r="J45" s="411">
        <f t="shared" si="3"/>
        <v>1.5002218051527023E-2</v>
      </c>
      <c r="K45" s="745">
        <f t="shared" si="17"/>
        <v>210996</v>
      </c>
      <c r="L45" s="101"/>
    </row>
    <row r="46" spans="1:12" x14ac:dyDescent="0.25">
      <c r="A46" s="704" t="s">
        <v>1187</v>
      </c>
      <c r="B46" s="418"/>
      <c r="C46" s="743">
        <v>0</v>
      </c>
      <c r="D46" s="743">
        <v>0</v>
      </c>
      <c r="E46" s="743">
        <v>0</v>
      </c>
      <c r="F46" s="743">
        <v>0</v>
      </c>
      <c r="G46" s="743">
        <v>0</v>
      </c>
      <c r="H46" s="743">
        <f t="shared" si="14"/>
        <v>0</v>
      </c>
      <c r="I46" s="411">
        <f t="shared" si="15"/>
        <v>0</v>
      </c>
      <c r="J46" s="411" t="str">
        <f t="shared" si="3"/>
        <v/>
      </c>
      <c r="K46" s="745">
        <f t="shared" si="17"/>
        <v>0</v>
      </c>
      <c r="L46" s="101"/>
    </row>
    <row r="47" spans="1:12" x14ac:dyDescent="0.25">
      <c r="A47" s="704" t="s">
        <v>1188</v>
      </c>
      <c r="B47" s="418"/>
      <c r="C47" s="743">
        <v>0</v>
      </c>
      <c r="D47" s="743">
        <v>0</v>
      </c>
      <c r="E47" s="743">
        <v>0</v>
      </c>
      <c r="F47" s="743">
        <v>0</v>
      </c>
      <c r="G47" s="743">
        <v>0</v>
      </c>
      <c r="H47" s="743">
        <f t="shared" si="14"/>
        <v>0</v>
      </c>
      <c r="I47" s="411">
        <f t="shared" si="15"/>
        <v>0</v>
      </c>
      <c r="J47" s="411" t="str">
        <f t="shared" si="3"/>
        <v/>
      </c>
      <c r="K47" s="745">
        <f t="shared" si="17"/>
        <v>0</v>
      </c>
      <c r="L47" s="101"/>
    </row>
    <row r="48" spans="1:12" x14ac:dyDescent="0.25">
      <c r="A48" s="704" t="s">
        <v>1189</v>
      </c>
      <c r="B48" s="418"/>
      <c r="C48" s="743">
        <v>0</v>
      </c>
      <c r="D48" s="743">
        <v>0</v>
      </c>
      <c r="E48" s="743">
        <v>0</v>
      </c>
      <c r="F48" s="743">
        <v>0</v>
      </c>
      <c r="G48" s="743">
        <v>0</v>
      </c>
      <c r="H48" s="743">
        <f t="shared" si="14"/>
        <v>0</v>
      </c>
      <c r="I48" s="411">
        <f t="shared" si="15"/>
        <v>0</v>
      </c>
      <c r="J48" s="411" t="str">
        <f t="shared" si="3"/>
        <v/>
      </c>
      <c r="K48" s="745">
        <f t="shared" si="17"/>
        <v>0</v>
      </c>
      <c r="L48" s="101"/>
    </row>
    <row r="49" spans="1:12" x14ac:dyDescent="0.25">
      <c r="A49" s="704" t="s">
        <v>1190</v>
      </c>
      <c r="B49" s="418"/>
      <c r="C49" s="743">
        <v>0</v>
      </c>
      <c r="D49" s="743">
        <v>0</v>
      </c>
      <c r="E49" s="743">
        <v>0</v>
      </c>
      <c r="F49" s="743">
        <v>0</v>
      </c>
      <c r="G49" s="743">
        <v>0</v>
      </c>
      <c r="H49" s="743">
        <f t="shared" si="14"/>
        <v>0</v>
      </c>
      <c r="I49" s="411">
        <f t="shared" si="15"/>
        <v>0</v>
      </c>
      <c r="J49" s="411" t="str">
        <f t="shared" si="3"/>
        <v/>
      </c>
      <c r="K49" s="745">
        <f t="shared" si="17"/>
        <v>0</v>
      </c>
      <c r="L49" s="101"/>
    </row>
    <row r="50" spans="1:12" x14ac:dyDescent="0.25">
      <c r="A50" s="616" t="s">
        <v>115</v>
      </c>
      <c r="B50" s="418"/>
      <c r="C50" s="620">
        <f>SUM(C51:C55)</f>
        <v>26732122.819999997</v>
      </c>
      <c r="D50" s="620">
        <f t="shared" ref="D50:K50" si="19">SUM(D51:D55)</f>
        <v>11874948</v>
      </c>
      <c r="E50" s="620">
        <f t="shared" si="19"/>
        <v>11874948</v>
      </c>
      <c r="F50" s="620">
        <f t="shared" si="19"/>
        <v>667929.78</v>
      </c>
      <c r="G50" s="620">
        <f t="shared" si="19"/>
        <v>1919699.9200000002</v>
      </c>
      <c r="H50" s="620">
        <f t="shared" si="19"/>
        <v>4947895</v>
      </c>
      <c r="I50" s="620">
        <f t="shared" ref="I50:I55" si="20">G50-H50</f>
        <v>-3028195.08</v>
      </c>
      <c r="J50" s="620">
        <f t="shared" ref="J50:J55" si="21">IF(I50=0,"",I50/H50)</f>
        <v>-0.61201684352638852</v>
      </c>
      <c r="K50" s="623">
        <f t="shared" si="19"/>
        <v>11874948</v>
      </c>
      <c r="L50" s="101"/>
    </row>
    <row r="51" spans="1:12" x14ac:dyDescent="0.25">
      <c r="A51" s="704" t="s">
        <v>1191</v>
      </c>
      <c r="B51" s="418"/>
      <c r="C51" s="743">
        <v>0</v>
      </c>
      <c r="D51" s="743">
        <v>0</v>
      </c>
      <c r="E51" s="743">
        <v>0</v>
      </c>
      <c r="F51" s="743">
        <v>0</v>
      </c>
      <c r="G51" s="743">
        <v>0</v>
      </c>
      <c r="H51" s="743">
        <f t="shared" ref="H51:H55" si="22">E51/12*5</f>
        <v>0</v>
      </c>
      <c r="I51" s="411">
        <f t="shared" si="20"/>
        <v>0</v>
      </c>
      <c r="J51" s="411" t="str">
        <f t="shared" si="21"/>
        <v/>
      </c>
      <c r="K51" s="745">
        <f t="shared" ref="K51:K55" si="23">D51</f>
        <v>0</v>
      </c>
      <c r="L51" s="101"/>
    </row>
    <row r="52" spans="1:12" x14ac:dyDescent="0.25">
      <c r="A52" s="704" t="s">
        <v>1192</v>
      </c>
      <c r="B52" s="418"/>
      <c r="C52" s="743">
        <v>0</v>
      </c>
      <c r="D52" s="743">
        <v>0</v>
      </c>
      <c r="E52" s="743">
        <v>0</v>
      </c>
      <c r="F52" s="743">
        <v>0</v>
      </c>
      <c r="G52" s="743">
        <v>0</v>
      </c>
      <c r="H52" s="743">
        <f t="shared" si="22"/>
        <v>0</v>
      </c>
      <c r="I52" s="411">
        <f t="shared" si="20"/>
        <v>0</v>
      </c>
      <c r="J52" s="411" t="str">
        <f t="shared" si="21"/>
        <v/>
      </c>
      <c r="K52" s="745">
        <f t="shared" si="23"/>
        <v>0</v>
      </c>
      <c r="L52" s="101"/>
    </row>
    <row r="53" spans="1:12" x14ac:dyDescent="0.25">
      <c r="A53" s="704" t="s">
        <v>1193</v>
      </c>
      <c r="B53" s="418"/>
      <c r="C53" s="743">
        <v>6310176.4399999995</v>
      </c>
      <c r="D53" s="743">
        <v>207000</v>
      </c>
      <c r="E53" s="743">
        <v>207000</v>
      </c>
      <c r="F53" s="743">
        <v>97618.54</v>
      </c>
      <c r="G53" s="743">
        <v>570622.95000000007</v>
      </c>
      <c r="H53" s="743">
        <f t="shared" si="22"/>
        <v>86250</v>
      </c>
      <c r="I53" s="411">
        <f t="shared" si="20"/>
        <v>484372.95000000007</v>
      </c>
      <c r="J53" s="411">
        <f t="shared" si="21"/>
        <v>5.6159182608695657</v>
      </c>
      <c r="K53" s="745">
        <f t="shared" si="23"/>
        <v>207000</v>
      </c>
      <c r="L53" s="101"/>
    </row>
    <row r="54" spans="1:12" x14ac:dyDescent="0.25">
      <c r="A54" s="704" t="s">
        <v>1194</v>
      </c>
      <c r="B54" s="418"/>
      <c r="C54" s="743">
        <v>20100298.969999999</v>
      </c>
      <c r="D54" s="743">
        <v>11667948</v>
      </c>
      <c r="E54" s="743">
        <v>11667948</v>
      </c>
      <c r="F54" s="743">
        <v>553927.74</v>
      </c>
      <c r="G54" s="743">
        <v>1236731.5000000002</v>
      </c>
      <c r="H54" s="743">
        <f t="shared" si="22"/>
        <v>4861645</v>
      </c>
      <c r="I54" s="411">
        <f t="shared" si="20"/>
        <v>-3624913.5</v>
      </c>
      <c r="J54" s="411">
        <f t="shared" si="21"/>
        <v>-0.74561460164203675</v>
      </c>
      <c r="K54" s="745">
        <f t="shared" si="23"/>
        <v>11667948</v>
      </c>
      <c r="L54" s="101"/>
    </row>
    <row r="55" spans="1:12" x14ac:dyDescent="0.25">
      <c r="A55" s="704" t="s">
        <v>1195</v>
      </c>
      <c r="B55" s="418"/>
      <c r="C55" s="743">
        <v>321647.40999999997</v>
      </c>
      <c r="D55" s="743">
        <v>0</v>
      </c>
      <c r="E55" s="743">
        <v>0</v>
      </c>
      <c r="F55" s="743">
        <v>16383.5</v>
      </c>
      <c r="G55" s="743">
        <v>112345.46999999999</v>
      </c>
      <c r="H55" s="743">
        <f t="shared" si="22"/>
        <v>0</v>
      </c>
      <c r="I55" s="411">
        <f t="shared" si="20"/>
        <v>112345.46999999999</v>
      </c>
      <c r="J55" s="411" t="e">
        <f t="shared" si="21"/>
        <v>#DIV/0!</v>
      </c>
      <c r="K55" s="745">
        <f t="shared" si="23"/>
        <v>0</v>
      </c>
      <c r="L55" s="101"/>
    </row>
    <row r="56" spans="1:12" x14ac:dyDescent="0.25">
      <c r="A56" s="616" t="s">
        <v>116</v>
      </c>
      <c r="B56" s="418"/>
      <c r="C56" s="620">
        <f>SUM(C57:C62)</f>
        <v>532618.05999999994</v>
      </c>
      <c r="D56" s="620">
        <f t="shared" ref="D56:K56" si="24">SUM(D57:D62)</f>
        <v>354000</v>
      </c>
      <c r="E56" s="620">
        <f t="shared" si="24"/>
        <v>354000</v>
      </c>
      <c r="F56" s="620">
        <f t="shared" si="24"/>
        <v>56021.42</v>
      </c>
      <c r="G56" s="620">
        <f t="shared" si="24"/>
        <v>322758.29000000004</v>
      </c>
      <c r="H56" s="620">
        <f t="shared" si="24"/>
        <v>147500</v>
      </c>
      <c r="I56" s="620">
        <f t="shared" si="2"/>
        <v>175258.29000000004</v>
      </c>
      <c r="J56" s="620">
        <f t="shared" si="3"/>
        <v>1.1881917966101698</v>
      </c>
      <c r="K56" s="623">
        <f t="shared" si="24"/>
        <v>354000</v>
      </c>
      <c r="L56" s="101"/>
    </row>
    <row r="57" spans="1:12" x14ac:dyDescent="0.25">
      <c r="A57" s="704" t="s">
        <v>174</v>
      </c>
      <c r="B57" s="418"/>
      <c r="C57" s="743">
        <v>1072</v>
      </c>
      <c r="D57" s="743">
        <v>0</v>
      </c>
      <c r="E57" s="743">
        <v>0</v>
      </c>
      <c r="F57" s="743">
        <v>0</v>
      </c>
      <c r="G57" s="743">
        <v>0</v>
      </c>
      <c r="H57" s="743">
        <f t="shared" ref="H57:H62" si="25">E57/12*5</f>
        <v>0</v>
      </c>
      <c r="I57" s="411">
        <f t="shared" si="2"/>
        <v>0</v>
      </c>
      <c r="J57" s="411" t="str">
        <f t="shared" si="3"/>
        <v/>
      </c>
      <c r="K57" s="745">
        <f t="shared" ref="K57:K62" si="26">D57</f>
        <v>0</v>
      </c>
      <c r="L57" s="101"/>
    </row>
    <row r="58" spans="1:12" x14ac:dyDescent="0.25">
      <c r="A58" s="704" t="s">
        <v>1196</v>
      </c>
      <c r="B58" s="418"/>
      <c r="C58" s="743"/>
      <c r="D58" s="743"/>
      <c r="E58" s="743">
        <v>0</v>
      </c>
      <c r="F58" s="743"/>
      <c r="G58" s="743"/>
      <c r="H58" s="743">
        <f t="shared" si="25"/>
        <v>0</v>
      </c>
      <c r="I58" s="411">
        <f t="shared" si="2"/>
        <v>0</v>
      </c>
      <c r="J58" s="411" t="str">
        <f t="shared" si="3"/>
        <v/>
      </c>
      <c r="K58" s="745">
        <f t="shared" si="26"/>
        <v>0</v>
      </c>
      <c r="L58" s="101"/>
    </row>
    <row r="59" spans="1:12" x14ac:dyDescent="0.25">
      <c r="A59" s="704" t="s">
        <v>1197</v>
      </c>
      <c r="B59" s="418"/>
      <c r="C59" s="743"/>
      <c r="D59" s="743"/>
      <c r="E59" s="743">
        <v>0</v>
      </c>
      <c r="F59" s="743"/>
      <c r="G59" s="743"/>
      <c r="H59" s="743">
        <f t="shared" si="25"/>
        <v>0</v>
      </c>
      <c r="I59" s="411">
        <f>G59-H59</f>
        <v>0</v>
      </c>
      <c r="J59" s="411" t="str">
        <f>IF(I59=0,"",I59/H59)</f>
        <v/>
      </c>
      <c r="K59" s="745">
        <f t="shared" si="26"/>
        <v>0</v>
      </c>
      <c r="L59" s="101"/>
    </row>
    <row r="60" spans="1:12" x14ac:dyDescent="0.25">
      <c r="A60" s="704" t="s">
        <v>1198</v>
      </c>
      <c r="B60" s="418"/>
      <c r="C60" s="743"/>
      <c r="D60" s="743"/>
      <c r="E60" s="743">
        <v>0</v>
      </c>
      <c r="F60" s="743"/>
      <c r="G60" s="743"/>
      <c r="H60" s="743">
        <f t="shared" si="25"/>
        <v>0</v>
      </c>
      <c r="I60" s="411">
        <f t="shared" si="2"/>
        <v>0</v>
      </c>
      <c r="J60" s="411" t="str">
        <f t="shared" si="3"/>
        <v/>
      </c>
      <c r="K60" s="745">
        <f t="shared" si="26"/>
        <v>0</v>
      </c>
      <c r="L60" s="101"/>
    </row>
    <row r="61" spans="1:12" x14ac:dyDescent="0.25">
      <c r="A61" s="704" t="s">
        <v>1199</v>
      </c>
      <c r="B61" s="418"/>
      <c r="C61" s="743">
        <v>531546.05999999994</v>
      </c>
      <c r="D61" s="743">
        <v>354000</v>
      </c>
      <c r="E61" s="743">
        <v>354000</v>
      </c>
      <c r="F61" s="743">
        <v>56021.42</v>
      </c>
      <c r="G61" s="743">
        <v>322758.29000000004</v>
      </c>
      <c r="H61" s="743">
        <f t="shared" si="25"/>
        <v>147500</v>
      </c>
      <c r="I61" s="411">
        <f t="shared" si="2"/>
        <v>175258.29000000004</v>
      </c>
      <c r="J61" s="411">
        <f t="shared" si="3"/>
        <v>1.1881917966101698</v>
      </c>
      <c r="K61" s="745">
        <f t="shared" si="26"/>
        <v>354000</v>
      </c>
      <c r="L61" s="101"/>
    </row>
    <row r="62" spans="1:12" x14ac:dyDescent="0.25">
      <c r="A62" s="704" t="s">
        <v>1200</v>
      </c>
      <c r="B62" s="418"/>
      <c r="C62" s="743"/>
      <c r="D62" s="743"/>
      <c r="E62" s="743">
        <v>0</v>
      </c>
      <c r="F62" s="743"/>
      <c r="G62" s="743"/>
      <c r="H62" s="743">
        <f t="shared" si="25"/>
        <v>0</v>
      </c>
      <c r="I62" s="411">
        <f t="shared" si="2"/>
        <v>0</v>
      </c>
      <c r="J62" s="411" t="str">
        <f t="shared" si="3"/>
        <v/>
      </c>
      <c r="K62" s="745">
        <f t="shared" si="26"/>
        <v>0</v>
      </c>
      <c r="L62" s="101"/>
    </row>
    <row r="63" spans="1:12" x14ac:dyDescent="0.25">
      <c r="A63" s="616" t="s">
        <v>733</v>
      </c>
      <c r="B63" s="418"/>
      <c r="C63" s="620">
        <f t="shared" ref="C63:H63" si="27">SUM(C64:C65)</f>
        <v>305517.13</v>
      </c>
      <c r="D63" s="620">
        <f t="shared" si="27"/>
        <v>8857992</v>
      </c>
      <c r="E63" s="620">
        <f t="shared" si="27"/>
        <v>8857992</v>
      </c>
      <c r="F63" s="620">
        <f t="shared" si="27"/>
        <v>90654.94</v>
      </c>
      <c r="G63" s="620">
        <f t="shared" si="27"/>
        <v>436622.3</v>
      </c>
      <c r="H63" s="620">
        <f t="shared" si="27"/>
        <v>3690830</v>
      </c>
      <c r="I63" s="620">
        <f>G63-H63</f>
        <v>-3254207.7</v>
      </c>
      <c r="J63" s="620">
        <f>IF(I63=0,"",I63/H63)</f>
        <v>-0.88170078275076347</v>
      </c>
      <c r="K63" s="623">
        <f>SUM(K64:K65)</f>
        <v>8857992</v>
      </c>
      <c r="L63" s="101"/>
    </row>
    <row r="64" spans="1:12" x14ac:dyDescent="0.25">
      <c r="A64" s="704" t="s">
        <v>733</v>
      </c>
      <c r="B64" s="418"/>
      <c r="C64" s="743">
        <v>305517.13</v>
      </c>
      <c r="D64" s="743">
        <v>8857992</v>
      </c>
      <c r="E64" s="743">
        <v>8857992</v>
      </c>
      <c r="F64" s="743">
        <v>90654.94</v>
      </c>
      <c r="G64" s="743">
        <v>436622.3</v>
      </c>
      <c r="H64" s="743">
        <f>E64/12*5</f>
        <v>3690830</v>
      </c>
      <c r="I64" s="411">
        <f>G64-H64</f>
        <v>-3254207.7</v>
      </c>
      <c r="J64" s="411">
        <f>IF(I64=0,"",I64/H64)</f>
        <v>-0.88170078275076347</v>
      </c>
      <c r="K64" s="745">
        <f>D64</f>
        <v>8857992</v>
      </c>
      <c r="L64" s="101"/>
    </row>
    <row r="65" spans="1:12" x14ac:dyDescent="0.25">
      <c r="A65" s="704" t="s">
        <v>1201</v>
      </c>
      <c r="B65" s="418"/>
      <c r="C65" s="743"/>
      <c r="D65" s="743"/>
      <c r="E65" s="743"/>
      <c r="F65" s="743"/>
      <c r="G65" s="743"/>
      <c r="H65" s="743">
        <f t="shared" ref="H65" si="28">E65/12*5</f>
        <v>0</v>
      </c>
      <c r="I65" s="411">
        <f>G65-H65</f>
        <v>0</v>
      </c>
      <c r="J65" s="411" t="str">
        <f>IF(I65=0,"",I65/H65)</f>
        <v/>
      </c>
      <c r="K65" s="745"/>
      <c r="L65" s="101"/>
    </row>
    <row r="66" spans="1:12" x14ac:dyDescent="0.25">
      <c r="A66" s="616" t="s">
        <v>630</v>
      </c>
      <c r="B66" s="418"/>
      <c r="C66" s="620">
        <f t="shared" ref="C66:H66" si="29">SUM(C67:C73)</f>
        <v>0</v>
      </c>
      <c r="D66" s="620">
        <f t="shared" si="29"/>
        <v>2988</v>
      </c>
      <c r="E66" s="620">
        <f t="shared" si="29"/>
        <v>2988</v>
      </c>
      <c r="F66" s="620">
        <f t="shared" si="29"/>
        <v>0</v>
      </c>
      <c r="G66" s="620">
        <f t="shared" si="29"/>
        <v>274</v>
      </c>
      <c r="H66" s="620">
        <f t="shared" si="29"/>
        <v>249</v>
      </c>
      <c r="I66" s="620">
        <f t="shared" si="2"/>
        <v>25</v>
      </c>
      <c r="J66" s="620">
        <f t="shared" si="3"/>
        <v>0.10040160642570281</v>
      </c>
      <c r="K66" s="620">
        <f>SUM(K67:K73)</f>
        <v>2988</v>
      </c>
      <c r="L66" s="101"/>
    </row>
    <row r="67" spans="1:12" x14ac:dyDescent="0.25">
      <c r="A67" s="704" t="s">
        <v>534</v>
      </c>
      <c r="B67" s="418"/>
      <c r="C67" s="743">
        <v>0</v>
      </c>
      <c r="D67" s="743">
        <v>0</v>
      </c>
      <c r="E67" s="743">
        <v>0</v>
      </c>
      <c r="F67" s="743">
        <v>0</v>
      </c>
      <c r="G67" s="743">
        <v>0</v>
      </c>
      <c r="H67" s="743">
        <v>0</v>
      </c>
      <c r="I67" s="411">
        <f t="shared" si="2"/>
        <v>0</v>
      </c>
      <c r="J67" s="411" t="str">
        <f t="shared" si="3"/>
        <v/>
      </c>
      <c r="K67" s="745"/>
      <c r="L67" s="101"/>
    </row>
    <row r="68" spans="1:12" x14ac:dyDescent="0.25">
      <c r="A68" s="704" t="s">
        <v>1202</v>
      </c>
      <c r="B68" s="418"/>
      <c r="C68" s="743">
        <v>0</v>
      </c>
      <c r="D68" s="743">
        <v>2988</v>
      </c>
      <c r="E68" s="743">
        <v>2988</v>
      </c>
      <c r="F68" s="743"/>
      <c r="G68" s="743">
        <v>274</v>
      </c>
      <c r="H68" s="743">
        <v>249</v>
      </c>
      <c r="I68" s="411">
        <f t="shared" si="2"/>
        <v>25</v>
      </c>
      <c r="J68" s="411">
        <f t="shared" si="3"/>
        <v>0.10040160642570281</v>
      </c>
      <c r="K68" s="745">
        <f>D68</f>
        <v>2988</v>
      </c>
      <c r="L68" s="101"/>
    </row>
    <row r="69" spans="1:12" x14ac:dyDescent="0.25">
      <c r="A69" s="704" t="s">
        <v>1203</v>
      </c>
      <c r="B69" s="418"/>
      <c r="C69" s="743"/>
      <c r="D69" s="743"/>
      <c r="E69" s="743"/>
      <c r="F69" s="743"/>
      <c r="G69" s="743"/>
      <c r="H69" s="743">
        <f t="shared" ref="H69:H73" si="30">D69/12*7</f>
        <v>0</v>
      </c>
      <c r="I69" s="411">
        <f>G69-H69</f>
        <v>0</v>
      </c>
      <c r="J69" s="411" t="str">
        <f>IF(I69=0,"",I69/H69)</f>
        <v/>
      </c>
      <c r="K69" s="745"/>
      <c r="L69" s="101"/>
    </row>
    <row r="70" spans="1:12" x14ac:dyDescent="0.25">
      <c r="A70" s="704" t="s">
        <v>1204</v>
      </c>
      <c r="B70" s="418"/>
      <c r="C70" s="743"/>
      <c r="D70" s="743"/>
      <c r="E70" s="743"/>
      <c r="F70" s="743"/>
      <c r="G70" s="743"/>
      <c r="H70" s="743">
        <f t="shared" si="30"/>
        <v>0</v>
      </c>
      <c r="I70" s="411">
        <f>G70-H70</f>
        <v>0</v>
      </c>
      <c r="J70" s="411" t="str">
        <f>IF(I70=0,"",I70/H70)</f>
        <v/>
      </c>
      <c r="K70" s="745"/>
      <c r="L70" s="101"/>
    </row>
    <row r="71" spans="1:12" ht="20.399999999999999" x14ac:dyDescent="0.25">
      <c r="A71" s="704" t="s">
        <v>1205</v>
      </c>
      <c r="B71" s="418"/>
      <c r="C71" s="743"/>
      <c r="D71" s="743"/>
      <c r="E71" s="743"/>
      <c r="F71" s="743"/>
      <c r="G71" s="743"/>
      <c r="H71" s="743">
        <f t="shared" si="30"/>
        <v>0</v>
      </c>
      <c r="I71" s="411">
        <f t="shared" si="2"/>
        <v>0</v>
      </c>
      <c r="J71" s="411" t="str">
        <f t="shared" si="3"/>
        <v/>
      </c>
      <c r="K71" s="745"/>
      <c r="L71" s="101"/>
    </row>
    <row r="72" spans="1:12" x14ac:dyDescent="0.25">
      <c r="A72" s="704" t="s">
        <v>1206</v>
      </c>
      <c r="B72" s="418"/>
      <c r="C72" s="743"/>
      <c r="D72" s="743"/>
      <c r="E72" s="743"/>
      <c r="F72" s="743"/>
      <c r="G72" s="743"/>
      <c r="H72" s="743">
        <f t="shared" si="30"/>
        <v>0</v>
      </c>
      <c r="I72" s="411">
        <f t="shared" si="2"/>
        <v>0</v>
      </c>
      <c r="J72" s="411" t="str">
        <f t="shared" si="3"/>
        <v/>
      </c>
      <c r="K72" s="745"/>
      <c r="L72" s="101"/>
    </row>
    <row r="73" spans="1:12" x14ac:dyDescent="0.25">
      <c r="A73" s="704" t="s">
        <v>1207</v>
      </c>
      <c r="B73" s="418"/>
      <c r="C73" s="743"/>
      <c r="D73" s="743"/>
      <c r="E73" s="743"/>
      <c r="F73" s="743"/>
      <c r="G73" s="743"/>
      <c r="H73" s="743">
        <f t="shared" si="30"/>
        <v>0</v>
      </c>
      <c r="I73" s="411">
        <f t="shared" si="2"/>
        <v>0</v>
      </c>
      <c r="J73" s="411" t="str">
        <f t="shared" si="3"/>
        <v/>
      </c>
      <c r="K73" s="745"/>
      <c r="L73" s="101"/>
    </row>
    <row r="74" spans="1:12" x14ac:dyDescent="0.25">
      <c r="A74" s="417" t="s">
        <v>117</v>
      </c>
      <c r="B74" s="420"/>
      <c r="C74" s="614">
        <f>C75+C86+C93</f>
        <v>111137766.10000002</v>
      </c>
      <c r="D74" s="614">
        <f t="shared" ref="D74:K74" si="31">D75+D86+D93</f>
        <v>123099912</v>
      </c>
      <c r="E74" s="614">
        <f t="shared" si="31"/>
        <v>123099912</v>
      </c>
      <c r="F74" s="614">
        <f t="shared" si="31"/>
        <v>8393588.7300000004</v>
      </c>
      <c r="G74" s="614">
        <f t="shared" si="31"/>
        <v>17646344.079999998</v>
      </c>
      <c r="H74" s="614">
        <f t="shared" si="31"/>
        <v>51291630</v>
      </c>
      <c r="I74" s="614">
        <f t="shared" si="2"/>
        <v>-33645285.920000002</v>
      </c>
      <c r="J74" s="614">
        <f t="shared" si="3"/>
        <v>-0.65596055184832303</v>
      </c>
      <c r="K74" s="615">
        <f t="shared" si="31"/>
        <v>123099912</v>
      </c>
      <c r="L74" s="101"/>
    </row>
    <row r="75" spans="1:12" x14ac:dyDescent="0.25">
      <c r="A75" s="616" t="s">
        <v>118</v>
      </c>
      <c r="B75" s="420"/>
      <c r="C75" s="620">
        <f t="shared" ref="C75:H75" si="32">SUM(C76:C85)</f>
        <v>18940312.600000001</v>
      </c>
      <c r="D75" s="620">
        <f t="shared" si="32"/>
        <v>53480928</v>
      </c>
      <c r="E75" s="620">
        <f t="shared" si="32"/>
        <v>53480928</v>
      </c>
      <c r="F75" s="620">
        <f t="shared" si="32"/>
        <v>1611181.58</v>
      </c>
      <c r="G75" s="620">
        <f t="shared" si="32"/>
        <v>7169013.8800000008</v>
      </c>
      <c r="H75" s="620">
        <f t="shared" si="32"/>
        <v>22283720</v>
      </c>
      <c r="I75" s="620">
        <f t="shared" si="2"/>
        <v>-15114706.119999999</v>
      </c>
      <c r="J75" s="620">
        <f t="shared" si="3"/>
        <v>-0.67828469034793115</v>
      </c>
      <c r="K75" s="620">
        <f>SUM(K76:K85)</f>
        <v>53480928</v>
      </c>
      <c r="L75" s="101"/>
    </row>
    <row r="76" spans="1:12" x14ac:dyDescent="0.25">
      <c r="A76" s="704" t="s">
        <v>1208</v>
      </c>
      <c r="B76" s="420"/>
      <c r="C76" s="743">
        <v>0</v>
      </c>
      <c r="D76" s="743">
        <v>0</v>
      </c>
      <c r="E76" s="743">
        <v>0</v>
      </c>
      <c r="F76" s="743">
        <v>0</v>
      </c>
      <c r="G76" s="743">
        <v>0</v>
      </c>
      <c r="H76" s="980">
        <f t="shared" ref="H76:H85" si="33">E76/12*5</f>
        <v>0</v>
      </c>
      <c r="I76" s="411">
        <f>G76-H76</f>
        <v>0</v>
      </c>
      <c r="J76" s="411" t="str">
        <f>IF(I76=0,"",I76/H76)</f>
        <v/>
      </c>
      <c r="K76" s="745">
        <f>D76</f>
        <v>0</v>
      </c>
      <c r="L76" s="101"/>
    </row>
    <row r="77" spans="1:12" x14ac:dyDescent="0.25">
      <c r="A77" s="704" t="s">
        <v>1209</v>
      </c>
      <c r="B77" s="420"/>
      <c r="C77" s="743">
        <v>0</v>
      </c>
      <c r="D77" s="743">
        <v>1992</v>
      </c>
      <c r="E77" s="743">
        <v>1992</v>
      </c>
      <c r="F77" s="743">
        <v>0</v>
      </c>
      <c r="G77" s="743">
        <v>0</v>
      </c>
      <c r="H77" s="743">
        <f t="shared" si="33"/>
        <v>830</v>
      </c>
      <c r="I77" s="411">
        <f t="shared" si="2"/>
        <v>-830</v>
      </c>
      <c r="J77" s="411">
        <f t="shared" si="3"/>
        <v>-1</v>
      </c>
      <c r="K77" s="745">
        <f t="shared" ref="K77:K85" si="34">D77</f>
        <v>1992</v>
      </c>
      <c r="L77" s="101"/>
    </row>
    <row r="78" spans="1:12" x14ac:dyDescent="0.25">
      <c r="A78" s="704" t="s">
        <v>1210</v>
      </c>
      <c r="B78" s="420"/>
      <c r="C78" s="743">
        <v>0</v>
      </c>
      <c r="D78" s="743">
        <v>0</v>
      </c>
      <c r="E78" s="743">
        <v>0</v>
      </c>
      <c r="F78" s="743">
        <v>0</v>
      </c>
      <c r="G78" s="743">
        <v>0</v>
      </c>
      <c r="H78" s="743">
        <f t="shared" si="33"/>
        <v>0</v>
      </c>
      <c r="I78" s="411">
        <f t="shared" si="2"/>
        <v>0</v>
      </c>
      <c r="J78" s="411" t="str">
        <f t="shared" si="3"/>
        <v/>
      </c>
      <c r="K78" s="745">
        <f t="shared" si="34"/>
        <v>0</v>
      </c>
      <c r="L78" s="101"/>
    </row>
    <row r="79" spans="1:12" x14ac:dyDescent="0.25">
      <c r="A79" s="704" t="s">
        <v>1211</v>
      </c>
      <c r="B79" s="420"/>
      <c r="C79" s="743">
        <v>0</v>
      </c>
      <c r="D79" s="743">
        <v>0</v>
      </c>
      <c r="E79" s="743">
        <v>0</v>
      </c>
      <c r="F79" s="743">
        <v>0</v>
      </c>
      <c r="G79" s="743">
        <v>0</v>
      </c>
      <c r="H79" s="743">
        <f t="shared" si="33"/>
        <v>0</v>
      </c>
      <c r="I79" s="411">
        <f>G79-H79</f>
        <v>0</v>
      </c>
      <c r="J79" s="411" t="str">
        <f>IF(I79=0,"",I79/H79)</f>
        <v/>
      </c>
      <c r="K79" s="745">
        <f t="shared" si="34"/>
        <v>0</v>
      </c>
      <c r="L79" s="101"/>
    </row>
    <row r="80" spans="1:12" x14ac:dyDescent="0.25">
      <c r="A80" s="704" t="s">
        <v>1212</v>
      </c>
      <c r="B80" s="420"/>
      <c r="C80" s="743">
        <v>193651.27</v>
      </c>
      <c r="D80" s="743">
        <v>39972</v>
      </c>
      <c r="E80" s="743">
        <v>39972</v>
      </c>
      <c r="F80" s="743">
        <v>374340.88</v>
      </c>
      <c r="G80" s="743">
        <v>978424.38</v>
      </c>
      <c r="H80" s="743">
        <f t="shared" si="33"/>
        <v>16655</v>
      </c>
      <c r="I80" s="411">
        <f>G80-H80</f>
        <v>961769.38</v>
      </c>
      <c r="J80" s="411">
        <f>IF(I80=0,"",I80/H80)</f>
        <v>57.746585409786853</v>
      </c>
      <c r="K80" s="745">
        <f t="shared" si="34"/>
        <v>39972</v>
      </c>
      <c r="L80" s="101"/>
    </row>
    <row r="81" spans="1:12" x14ac:dyDescent="0.25">
      <c r="A81" s="704" t="s">
        <v>1213</v>
      </c>
      <c r="B81" s="420"/>
      <c r="C81" s="743">
        <v>10878456.58</v>
      </c>
      <c r="D81" s="743">
        <v>0</v>
      </c>
      <c r="E81" s="743">
        <v>0</v>
      </c>
      <c r="F81" s="743">
        <v>151897.21</v>
      </c>
      <c r="G81" s="743">
        <v>755522.92999999993</v>
      </c>
      <c r="H81" s="743">
        <f t="shared" si="33"/>
        <v>0</v>
      </c>
      <c r="I81" s="411">
        <f>G81-H81</f>
        <v>755522.92999999993</v>
      </c>
      <c r="J81" s="411" t="e">
        <f>IF(I81=0,"",I81/H81)</f>
        <v>#DIV/0!</v>
      </c>
      <c r="K81" s="745">
        <f t="shared" si="34"/>
        <v>0</v>
      </c>
      <c r="L81" s="101"/>
    </row>
    <row r="82" spans="1:12" ht="20.399999999999999" x14ac:dyDescent="0.25">
      <c r="A82" s="704" t="s">
        <v>1214</v>
      </c>
      <c r="B82" s="420"/>
      <c r="C82" s="743">
        <v>7868204.75</v>
      </c>
      <c r="D82" s="743">
        <v>53437968</v>
      </c>
      <c r="E82" s="743">
        <v>53437968</v>
      </c>
      <c r="F82" s="743">
        <v>1084943.49</v>
      </c>
      <c r="G82" s="743">
        <v>5435066.5700000003</v>
      </c>
      <c r="H82" s="743">
        <f t="shared" si="33"/>
        <v>22265820</v>
      </c>
      <c r="I82" s="411">
        <f>G82-H82</f>
        <v>-16830753.43</v>
      </c>
      <c r="J82" s="411">
        <f>IF(I82=0,"",I82/H82)</f>
        <v>-0.75590090236964103</v>
      </c>
      <c r="K82" s="745">
        <f t="shared" si="34"/>
        <v>53437968</v>
      </c>
      <c r="L82" s="101"/>
    </row>
    <row r="83" spans="1:12" x14ac:dyDescent="0.25">
      <c r="A83" s="704" t="s">
        <v>1215</v>
      </c>
      <c r="B83" s="420"/>
      <c r="C83" s="743">
        <v>0</v>
      </c>
      <c r="D83" s="743">
        <v>996</v>
      </c>
      <c r="E83" s="743">
        <v>996</v>
      </c>
      <c r="F83" s="743">
        <v>0</v>
      </c>
      <c r="G83" s="743">
        <v>0</v>
      </c>
      <c r="H83" s="743">
        <f t="shared" si="33"/>
        <v>415</v>
      </c>
      <c r="I83" s="411">
        <f t="shared" si="2"/>
        <v>-415</v>
      </c>
      <c r="J83" s="411">
        <f t="shared" si="3"/>
        <v>-1</v>
      </c>
      <c r="K83" s="745">
        <f t="shared" si="34"/>
        <v>996</v>
      </c>
      <c r="L83" s="101"/>
    </row>
    <row r="84" spans="1:12" x14ac:dyDescent="0.25">
      <c r="A84" s="704" t="s">
        <v>1216</v>
      </c>
      <c r="B84" s="420"/>
      <c r="C84" s="743"/>
      <c r="D84" s="743"/>
      <c r="E84" s="743">
        <v>0</v>
      </c>
      <c r="F84" s="743"/>
      <c r="G84" s="743"/>
      <c r="H84" s="743">
        <f t="shared" si="33"/>
        <v>0</v>
      </c>
      <c r="I84" s="411">
        <f t="shared" si="2"/>
        <v>0</v>
      </c>
      <c r="J84" s="411" t="str">
        <f t="shared" si="3"/>
        <v/>
      </c>
      <c r="K84" s="745">
        <f t="shared" si="34"/>
        <v>0</v>
      </c>
      <c r="L84" s="101"/>
    </row>
    <row r="85" spans="1:12" x14ac:dyDescent="0.25">
      <c r="A85" s="704" t="s">
        <v>1217</v>
      </c>
      <c r="B85" s="420"/>
      <c r="C85" s="743"/>
      <c r="D85" s="743"/>
      <c r="E85" s="743">
        <v>0</v>
      </c>
      <c r="F85" s="743"/>
      <c r="G85" s="743"/>
      <c r="H85" s="743">
        <f t="shared" si="33"/>
        <v>0</v>
      </c>
      <c r="I85" s="411">
        <f t="shared" si="2"/>
        <v>0</v>
      </c>
      <c r="J85" s="411" t="str">
        <f t="shared" si="3"/>
        <v/>
      </c>
      <c r="K85" s="745">
        <f t="shared" si="34"/>
        <v>0</v>
      </c>
      <c r="L85" s="101"/>
    </row>
    <row r="86" spans="1:12" x14ac:dyDescent="0.25">
      <c r="A86" s="616" t="s">
        <v>119</v>
      </c>
      <c r="B86" s="420"/>
      <c r="C86" s="620">
        <f>SUM(C87:C92)</f>
        <v>92197453.030000016</v>
      </c>
      <c r="D86" s="620">
        <f t="shared" ref="D86:K86" si="35">SUM(D87:D92)</f>
        <v>66161976</v>
      </c>
      <c r="E86" s="620">
        <f t="shared" si="35"/>
        <v>66161976</v>
      </c>
      <c r="F86" s="620">
        <f t="shared" si="35"/>
        <v>6782407.1499999994</v>
      </c>
      <c r="G86" s="620">
        <f t="shared" si="35"/>
        <v>10477330.199999999</v>
      </c>
      <c r="H86" s="620">
        <f t="shared" si="35"/>
        <v>27567490</v>
      </c>
      <c r="I86" s="620">
        <f t="shared" si="2"/>
        <v>-17090159.800000001</v>
      </c>
      <c r="J86" s="620">
        <f t="shared" si="3"/>
        <v>-0.61993891355360975</v>
      </c>
      <c r="K86" s="623">
        <f t="shared" si="35"/>
        <v>66161976</v>
      </c>
      <c r="L86" s="101"/>
    </row>
    <row r="87" spans="1:12" x14ac:dyDescent="0.25">
      <c r="A87" s="704" t="s">
        <v>1218</v>
      </c>
      <c r="B87" s="420"/>
      <c r="C87" s="743"/>
      <c r="D87" s="743"/>
      <c r="E87" s="743">
        <v>0</v>
      </c>
      <c r="F87" s="743"/>
      <c r="G87" s="743"/>
      <c r="H87" s="743">
        <f t="shared" ref="H87:H92" si="36">E87/12*5</f>
        <v>0</v>
      </c>
      <c r="I87" s="411">
        <f t="shared" si="2"/>
        <v>0</v>
      </c>
      <c r="J87" s="411" t="str">
        <f t="shared" si="3"/>
        <v/>
      </c>
      <c r="K87" s="745">
        <f t="shared" ref="K87:K92" si="37">D87</f>
        <v>0</v>
      </c>
      <c r="L87" s="101"/>
    </row>
    <row r="88" spans="1:12" x14ac:dyDescent="0.25">
      <c r="A88" s="704" t="s">
        <v>1219</v>
      </c>
      <c r="B88" s="420"/>
      <c r="C88" s="743"/>
      <c r="D88" s="743"/>
      <c r="E88" s="743">
        <v>0</v>
      </c>
      <c r="F88" s="743"/>
      <c r="G88" s="743"/>
      <c r="H88" s="743">
        <f t="shared" si="36"/>
        <v>0</v>
      </c>
      <c r="I88" s="411">
        <f>G88-H88</f>
        <v>0</v>
      </c>
      <c r="J88" s="411" t="str">
        <f>IF(I88=0,"",I88/H88)</f>
        <v/>
      </c>
      <c r="K88" s="745">
        <f t="shared" si="37"/>
        <v>0</v>
      </c>
      <c r="L88" s="101"/>
    </row>
    <row r="89" spans="1:12" x14ac:dyDescent="0.25">
      <c r="A89" s="704" t="s">
        <v>1220</v>
      </c>
      <c r="B89" s="420"/>
      <c r="C89" s="743">
        <v>0</v>
      </c>
      <c r="D89" s="743">
        <v>3984</v>
      </c>
      <c r="E89" s="743">
        <v>3984</v>
      </c>
      <c r="F89" s="743">
        <v>0</v>
      </c>
      <c r="G89" s="743">
        <v>0</v>
      </c>
      <c r="H89" s="743">
        <f t="shared" si="36"/>
        <v>1660</v>
      </c>
      <c r="I89" s="411">
        <f t="shared" si="2"/>
        <v>-1660</v>
      </c>
      <c r="J89" s="411">
        <f t="shared" si="3"/>
        <v>-1</v>
      </c>
      <c r="K89" s="745">
        <f t="shared" si="37"/>
        <v>3984</v>
      </c>
      <c r="L89" s="101"/>
    </row>
    <row r="90" spans="1:12" x14ac:dyDescent="0.25">
      <c r="A90" s="704" t="s">
        <v>1221</v>
      </c>
      <c r="B90" s="420"/>
      <c r="C90" s="743">
        <v>16490669.34</v>
      </c>
      <c r="D90" s="743">
        <v>65886000</v>
      </c>
      <c r="E90" s="743">
        <v>65886000</v>
      </c>
      <c r="F90" s="743">
        <v>6749407.1499999994</v>
      </c>
      <c r="G90" s="743">
        <v>10397851.93</v>
      </c>
      <c r="H90" s="743">
        <f t="shared" si="36"/>
        <v>27452500</v>
      </c>
      <c r="I90" s="411">
        <f t="shared" si="2"/>
        <v>-17054648.07</v>
      </c>
      <c r="J90" s="411">
        <f t="shared" si="3"/>
        <v>-0.62124207522083597</v>
      </c>
      <c r="K90" s="745">
        <f t="shared" si="37"/>
        <v>65886000</v>
      </c>
      <c r="L90" s="101"/>
    </row>
    <row r="91" spans="1:12" x14ac:dyDescent="0.25">
      <c r="A91" s="704" t="s">
        <v>175</v>
      </c>
      <c r="B91" s="420"/>
      <c r="C91" s="743">
        <v>75706783.690000013</v>
      </c>
      <c r="D91" s="743">
        <v>271992</v>
      </c>
      <c r="E91" s="743">
        <v>271992</v>
      </c>
      <c r="F91" s="743">
        <v>33000</v>
      </c>
      <c r="G91" s="743">
        <v>79478.27</v>
      </c>
      <c r="H91" s="743">
        <f t="shared" si="36"/>
        <v>113330</v>
      </c>
      <c r="I91" s="411">
        <f t="shared" si="2"/>
        <v>-33851.729999999996</v>
      </c>
      <c r="J91" s="411">
        <f t="shared" si="3"/>
        <v>-0.29870052060354713</v>
      </c>
      <c r="K91" s="745">
        <f t="shared" si="37"/>
        <v>271992</v>
      </c>
      <c r="L91" s="101"/>
    </row>
    <row r="92" spans="1:12" x14ac:dyDescent="0.25">
      <c r="A92" s="704" t="s">
        <v>1222</v>
      </c>
      <c r="B92" s="420"/>
      <c r="C92" s="743"/>
      <c r="D92" s="743"/>
      <c r="E92" s="743">
        <v>0</v>
      </c>
      <c r="F92" s="743">
        <v>0</v>
      </c>
      <c r="G92" s="743">
        <v>0</v>
      </c>
      <c r="H92" s="743">
        <f t="shared" si="36"/>
        <v>0</v>
      </c>
      <c r="I92" s="411">
        <f t="shared" si="2"/>
        <v>0</v>
      </c>
      <c r="J92" s="411" t="str">
        <f t="shared" si="3"/>
        <v/>
      </c>
      <c r="K92" s="745">
        <f t="shared" si="37"/>
        <v>0</v>
      </c>
      <c r="L92" s="101"/>
    </row>
    <row r="93" spans="1:12" x14ac:dyDescent="0.25">
      <c r="A93" s="616" t="s">
        <v>120</v>
      </c>
      <c r="B93" s="420"/>
      <c r="C93" s="620">
        <f>SUM(C94:C99)</f>
        <v>0.47</v>
      </c>
      <c r="D93" s="620">
        <f t="shared" ref="D93:K93" si="38">SUM(D94:D99)</f>
        <v>3457008</v>
      </c>
      <c r="E93" s="620">
        <f t="shared" si="38"/>
        <v>3457008</v>
      </c>
      <c r="F93" s="620">
        <f t="shared" si="38"/>
        <v>0</v>
      </c>
      <c r="G93" s="620">
        <f t="shared" si="38"/>
        <v>0</v>
      </c>
      <c r="H93" s="620">
        <f t="shared" si="38"/>
        <v>1440420</v>
      </c>
      <c r="I93" s="620">
        <f t="shared" si="2"/>
        <v>-1440420</v>
      </c>
      <c r="J93" s="620">
        <f t="shared" si="3"/>
        <v>-1</v>
      </c>
      <c r="K93" s="623">
        <f t="shared" si="38"/>
        <v>3457008</v>
      </c>
      <c r="L93" s="101"/>
    </row>
    <row r="94" spans="1:12" x14ac:dyDescent="0.25">
      <c r="A94" s="704" t="s">
        <v>1223</v>
      </c>
      <c r="B94" s="420"/>
      <c r="C94" s="743">
        <v>0</v>
      </c>
      <c r="D94" s="743">
        <v>3457008</v>
      </c>
      <c r="E94" s="743">
        <v>3457008</v>
      </c>
      <c r="F94" s="743">
        <v>0</v>
      </c>
      <c r="G94" s="743">
        <v>0</v>
      </c>
      <c r="H94" s="743">
        <f t="shared" ref="H94:H99" si="39">E94/12*5</f>
        <v>1440420</v>
      </c>
      <c r="I94" s="411">
        <f t="shared" si="2"/>
        <v>-1440420</v>
      </c>
      <c r="J94" s="411">
        <f t="shared" si="3"/>
        <v>-1</v>
      </c>
      <c r="K94" s="745">
        <f t="shared" ref="K94:K99" si="40">D94</f>
        <v>3457008</v>
      </c>
      <c r="L94" s="101"/>
    </row>
    <row r="95" spans="1:12" x14ac:dyDescent="0.25">
      <c r="A95" s="704" t="s">
        <v>1224</v>
      </c>
      <c r="B95" s="420"/>
      <c r="C95" s="743">
        <v>0</v>
      </c>
      <c r="D95" s="743">
        <v>0</v>
      </c>
      <c r="E95" s="743">
        <v>0</v>
      </c>
      <c r="F95" s="743">
        <v>0</v>
      </c>
      <c r="G95" s="743">
        <v>0</v>
      </c>
      <c r="H95" s="743">
        <f t="shared" si="39"/>
        <v>0</v>
      </c>
      <c r="I95" s="411">
        <f t="shared" si="2"/>
        <v>0</v>
      </c>
      <c r="J95" s="411" t="str">
        <f t="shared" si="3"/>
        <v/>
      </c>
      <c r="K95" s="745">
        <f t="shared" si="40"/>
        <v>0</v>
      </c>
      <c r="L95" s="101"/>
    </row>
    <row r="96" spans="1:12" x14ac:dyDescent="0.25">
      <c r="A96" s="704" t="s">
        <v>1225</v>
      </c>
      <c r="B96" s="420"/>
      <c r="C96" s="743">
        <v>0</v>
      </c>
      <c r="D96" s="743">
        <v>0</v>
      </c>
      <c r="E96" s="743">
        <v>0</v>
      </c>
      <c r="F96" s="743">
        <v>0</v>
      </c>
      <c r="G96" s="743">
        <v>0</v>
      </c>
      <c r="H96" s="743">
        <f t="shared" si="39"/>
        <v>0</v>
      </c>
      <c r="I96" s="411">
        <f>G96-H96</f>
        <v>0</v>
      </c>
      <c r="J96" s="411" t="str">
        <f>IF(I96=0,"",I96/H96)</f>
        <v/>
      </c>
      <c r="K96" s="745">
        <f t="shared" si="40"/>
        <v>0</v>
      </c>
      <c r="L96" s="101"/>
    </row>
    <row r="97" spans="1:12" x14ac:dyDescent="0.25">
      <c r="A97" s="704" t="s">
        <v>1226</v>
      </c>
      <c r="B97" s="420"/>
      <c r="C97" s="743">
        <v>0.47</v>
      </c>
      <c r="D97" s="743">
        <v>0</v>
      </c>
      <c r="E97" s="743">
        <v>0</v>
      </c>
      <c r="F97" s="743">
        <v>0</v>
      </c>
      <c r="G97" s="743">
        <v>0</v>
      </c>
      <c r="H97" s="743">
        <f t="shared" si="39"/>
        <v>0</v>
      </c>
      <c r="I97" s="411">
        <f>G97-H97</f>
        <v>0</v>
      </c>
      <c r="J97" s="411" t="str">
        <f>IF(I97=0,"",I97/H97)</f>
        <v/>
      </c>
      <c r="K97" s="745">
        <f t="shared" si="40"/>
        <v>0</v>
      </c>
      <c r="L97" s="101"/>
    </row>
    <row r="98" spans="1:12" x14ac:dyDescent="0.25">
      <c r="A98" s="704" t="s">
        <v>176</v>
      </c>
      <c r="B98" s="420"/>
      <c r="C98" s="743"/>
      <c r="D98" s="743"/>
      <c r="E98" s="743">
        <v>0</v>
      </c>
      <c r="F98" s="743"/>
      <c r="G98" s="743"/>
      <c r="H98" s="743">
        <f t="shared" si="39"/>
        <v>0</v>
      </c>
      <c r="I98" s="411">
        <f t="shared" si="2"/>
        <v>0</v>
      </c>
      <c r="J98" s="411" t="str">
        <f t="shared" si="3"/>
        <v/>
      </c>
      <c r="K98" s="745">
        <f t="shared" si="40"/>
        <v>0</v>
      </c>
      <c r="L98" s="101"/>
    </row>
    <row r="99" spans="1:12" x14ac:dyDescent="0.25">
      <c r="A99" s="704" t="s">
        <v>1227</v>
      </c>
      <c r="B99" s="420"/>
      <c r="C99" s="743"/>
      <c r="D99" s="743"/>
      <c r="E99" s="743">
        <v>0</v>
      </c>
      <c r="F99" s="743"/>
      <c r="G99" s="743"/>
      <c r="H99" s="743">
        <f t="shared" si="39"/>
        <v>0</v>
      </c>
      <c r="I99" s="411">
        <f t="shared" si="2"/>
        <v>0</v>
      </c>
      <c r="J99" s="411" t="str">
        <f t="shared" si="3"/>
        <v/>
      </c>
      <c r="K99" s="745">
        <f t="shared" si="40"/>
        <v>0</v>
      </c>
      <c r="L99" s="101"/>
    </row>
    <row r="100" spans="1:12" x14ac:dyDescent="0.25">
      <c r="A100" s="417" t="s">
        <v>121</v>
      </c>
      <c r="B100" s="420"/>
      <c r="C100" s="614">
        <f>C101+C105+C109+C114</f>
        <v>1431156813.77</v>
      </c>
      <c r="D100" s="614">
        <f t="shared" ref="D100:I100" si="41">D101+D105+D109+D114</f>
        <v>1766230956</v>
      </c>
      <c r="E100" s="614">
        <f t="shared" si="41"/>
        <v>1766230956</v>
      </c>
      <c r="F100" s="614">
        <f t="shared" si="41"/>
        <v>120557014.11</v>
      </c>
      <c r="G100" s="614">
        <f t="shared" si="41"/>
        <v>683704647.52999997</v>
      </c>
      <c r="H100" s="614">
        <f t="shared" si="41"/>
        <v>735929565</v>
      </c>
      <c r="I100" s="614">
        <f t="shared" si="41"/>
        <v>-52224917.470000051</v>
      </c>
      <c r="J100" s="614">
        <f t="shared" si="3"/>
        <v>-7.0964559590699486E-2</v>
      </c>
      <c r="K100" s="615">
        <f>K101+K105+K109+K114</f>
        <v>1766230956</v>
      </c>
      <c r="L100" s="101"/>
    </row>
    <row r="101" spans="1:12" x14ac:dyDescent="0.25">
      <c r="A101" s="616" t="s">
        <v>1228</v>
      </c>
      <c r="B101" s="420"/>
      <c r="C101" s="620">
        <f>SUM(C102:C104)</f>
        <v>956100536.37</v>
      </c>
      <c r="D101" s="620">
        <f t="shared" ref="D101:K101" si="42">SUM(D102:D104)</f>
        <v>1192843992</v>
      </c>
      <c r="E101" s="620">
        <f t="shared" si="42"/>
        <v>1192843992</v>
      </c>
      <c r="F101" s="620">
        <f t="shared" si="42"/>
        <v>70290721.210000008</v>
      </c>
      <c r="G101" s="620">
        <f t="shared" si="42"/>
        <v>428919089.12999994</v>
      </c>
      <c r="H101" s="620">
        <f t="shared" si="42"/>
        <v>497018330</v>
      </c>
      <c r="I101" s="620">
        <f t="shared" si="2"/>
        <v>-68099240.870000064</v>
      </c>
      <c r="J101" s="620">
        <f t="shared" si="3"/>
        <v>-0.13701555206223492</v>
      </c>
      <c r="K101" s="623">
        <f t="shared" si="42"/>
        <v>1192843992</v>
      </c>
      <c r="L101" s="101"/>
    </row>
    <row r="102" spans="1:12" x14ac:dyDescent="0.25">
      <c r="A102" s="704" t="s">
        <v>1229</v>
      </c>
      <c r="B102" s="420"/>
      <c r="C102" s="743">
        <v>956100536.37</v>
      </c>
      <c r="D102" s="743">
        <v>1192843992</v>
      </c>
      <c r="E102" s="743">
        <v>1192843992</v>
      </c>
      <c r="F102" s="743">
        <v>70290721.210000008</v>
      </c>
      <c r="G102" s="743">
        <v>428919089.12999994</v>
      </c>
      <c r="H102" s="743">
        <f t="shared" ref="H102:H104" si="43">E102/12*5</f>
        <v>497018330</v>
      </c>
      <c r="I102" s="411">
        <f t="shared" si="2"/>
        <v>-68099240.870000064</v>
      </c>
      <c r="J102" s="411">
        <f t="shared" si="3"/>
        <v>-0.13701555206223492</v>
      </c>
      <c r="K102" s="745">
        <f>D102</f>
        <v>1192843992</v>
      </c>
      <c r="L102" s="101"/>
    </row>
    <row r="103" spans="1:12" x14ac:dyDescent="0.25">
      <c r="A103" s="704" t="s">
        <v>1230</v>
      </c>
      <c r="B103" s="420"/>
      <c r="C103" s="743"/>
      <c r="D103" s="743"/>
      <c r="E103" s="743">
        <v>0</v>
      </c>
      <c r="F103" s="743"/>
      <c r="G103" s="743"/>
      <c r="H103" s="743">
        <f t="shared" si="43"/>
        <v>0</v>
      </c>
      <c r="I103" s="411">
        <f>G103-H103</f>
        <v>0</v>
      </c>
      <c r="J103" s="411" t="str">
        <f>IF(I103=0,"",I103/H103)</f>
        <v/>
      </c>
      <c r="K103" s="745">
        <f>D103</f>
        <v>0</v>
      </c>
      <c r="L103" s="101"/>
    </row>
    <row r="104" spans="1:12" x14ac:dyDescent="0.25">
      <c r="A104" s="704" t="s">
        <v>1231</v>
      </c>
      <c r="B104" s="420"/>
      <c r="C104" s="743"/>
      <c r="D104" s="743"/>
      <c r="E104" s="743">
        <v>0</v>
      </c>
      <c r="F104" s="743"/>
      <c r="G104" s="743"/>
      <c r="H104" s="743">
        <f t="shared" si="43"/>
        <v>0</v>
      </c>
      <c r="I104" s="411">
        <f t="shared" si="2"/>
        <v>0</v>
      </c>
      <c r="J104" s="411" t="str">
        <f t="shared" si="3"/>
        <v/>
      </c>
      <c r="K104" s="745">
        <f>D104</f>
        <v>0</v>
      </c>
      <c r="L104" s="101"/>
    </row>
    <row r="105" spans="1:12" x14ac:dyDescent="0.25">
      <c r="A105" s="616" t="s">
        <v>1232</v>
      </c>
      <c r="B105" s="420"/>
      <c r="C105" s="620">
        <f>SUM(C106:C108)</f>
        <v>260621321.38999999</v>
      </c>
      <c r="D105" s="620">
        <f t="shared" ref="D105:K105" si="44">SUM(D106:D108)</f>
        <v>310981968</v>
      </c>
      <c r="E105" s="620">
        <f t="shared" si="44"/>
        <v>310981968</v>
      </c>
      <c r="F105" s="620">
        <f t="shared" si="44"/>
        <v>25112335.940000001</v>
      </c>
      <c r="G105" s="620">
        <f t="shared" si="44"/>
        <v>121554852.7</v>
      </c>
      <c r="H105" s="620">
        <f t="shared" si="44"/>
        <v>129575820</v>
      </c>
      <c r="I105" s="620">
        <f t="shared" si="2"/>
        <v>-8020967.299999997</v>
      </c>
      <c r="J105" s="620">
        <f t="shared" si="3"/>
        <v>-6.1901729041730143E-2</v>
      </c>
      <c r="K105" s="623">
        <f t="shared" si="44"/>
        <v>310981968</v>
      </c>
      <c r="L105" s="101"/>
    </row>
    <row r="106" spans="1:12" x14ac:dyDescent="0.25">
      <c r="A106" s="704" t="s">
        <v>1233</v>
      </c>
      <c r="B106" s="420"/>
      <c r="C106" s="743">
        <v>0</v>
      </c>
      <c r="D106" s="743">
        <v>996</v>
      </c>
      <c r="E106" s="743">
        <v>996</v>
      </c>
      <c r="F106" s="743">
        <v>0</v>
      </c>
      <c r="G106" s="743">
        <v>0</v>
      </c>
      <c r="H106" s="743">
        <f t="shared" ref="H106:H108" si="45">E106/12*5</f>
        <v>415</v>
      </c>
      <c r="I106" s="411">
        <f t="shared" si="2"/>
        <v>-415</v>
      </c>
      <c r="J106" s="411">
        <f t="shared" si="3"/>
        <v>-1</v>
      </c>
      <c r="K106" s="745">
        <f>D106</f>
        <v>996</v>
      </c>
      <c r="L106" s="101"/>
    </row>
    <row r="107" spans="1:12" x14ac:dyDescent="0.25">
      <c r="A107" s="704" t="s">
        <v>177</v>
      </c>
      <c r="B107" s="420"/>
      <c r="C107" s="743">
        <v>260621321.38999999</v>
      </c>
      <c r="D107" s="743">
        <v>310980972</v>
      </c>
      <c r="E107" s="743">
        <v>310980972</v>
      </c>
      <c r="F107" s="743">
        <v>25112335.940000001</v>
      </c>
      <c r="G107" s="743">
        <v>121554852.7</v>
      </c>
      <c r="H107" s="743">
        <f t="shared" si="45"/>
        <v>129575405</v>
      </c>
      <c r="I107" s="411">
        <f>G107-H107</f>
        <v>-8020552.299999997</v>
      </c>
      <c r="J107" s="411">
        <f>IF(I107=0,"",I107/H107)</f>
        <v>-6.1898724530322691E-2</v>
      </c>
      <c r="K107" s="745">
        <f>D107</f>
        <v>310980972</v>
      </c>
      <c r="L107" s="101"/>
    </row>
    <row r="108" spans="1:12" x14ac:dyDescent="0.25">
      <c r="A108" s="704" t="s">
        <v>178</v>
      </c>
      <c r="B108" s="420"/>
      <c r="C108" s="743"/>
      <c r="D108" s="743"/>
      <c r="E108" s="743">
        <v>0</v>
      </c>
      <c r="F108" s="743"/>
      <c r="G108" s="743"/>
      <c r="H108" s="743">
        <f t="shared" si="45"/>
        <v>0</v>
      </c>
      <c r="I108" s="411">
        <f t="shared" si="2"/>
        <v>0</v>
      </c>
      <c r="J108" s="411" t="str">
        <f t="shared" si="3"/>
        <v/>
      </c>
      <c r="K108" s="745">
        <f>D108</f>
        <v>0</v>
      </c>
      <c r="L108" s="101"/>
    </row>
    <row r="109" spans="1:12" x14ac:dyDescent="0.25">
      <c r="A109" s="616" t="s">
        <v>122</v>
      </c>
      <c r="B109" s="420"/>
      <c r="C109" s="620">
        <f>SUM(C110:C113)</f>
        <v>107299037.64999999</v>
      </c>
      <c r="D109" s="620">
        <f t="shared" ref="D109:K109" si="46">SUM(D110:D113)</f>
        <v>133774008</v>
      </c>
      <c r="E109" s="620">
        <f t="shared" si="46"/>
        <v>133774008</v>
      </c>
      <c r="F109" s="620">
        <f t="shared" si="46"/>
        <v>15692905.039999995</v>
      </c>
      <c r="G109" s="620">
        <f t="shared" si="46"/>
        <v>85995962.24000001</v>
      </c>
      <c r="H109" s="620">
        <f t="shared" si="46"/>
        <v>55739170</v>
      </c>
      <c r="I109" s="620">
        <f t="shared" si="2"/>
        <v>30256792.24000001</v>
      </c>
      <c r="J109" s="620">
        <f t="shared" si="3"/>
        <v>0.54282818061338212</v>
      </c>
      <c r="K109" s="623">
        <f t="shared" si="46"/>
        <v>133774008</v>
      </c>
      <c r="L109" s="101"/>
    </row>
    <row r="110" spans="1:12" x14ac:dyDescent="0.25">
      <c r="A110" s="704" t="s">
        <v>181</v>
      </c>
      <c r="B110" s="420"/>
      <c r="C110" s="743">
        <v>0</v>
      </c>
      <c r="D110" s="743">
        <v>0</v>
      </c>
      <c r="E110" s="743">
        <v>0</v>
      </c>
      <c r="F110" s="743">
        <v>0</v>
      </c>
      <c r="G110" s="743">
        <v>0</v>
      </c>
      <c r="H110" s="743">
        <f t="shared" ref="H110:H113" si="47">E110/12*5</f>
        <v>0</v>
      </c>
      <c r="I110" s="411">
        <f t="shared" si="2"/>
        <v>0</v>
      </c>
      <c r="J110" s="411" t="str">
        <f t="shared" si="3"/>
        <v/>
      </c>
      <c r="K110" s="745">
        <f>D110</f>
        <v>0</v>
      </c>
      <c r="L110" s="101"/>
    </row>
    <row r="111" spans="1:12" x14ac:dyDescent="0.25">
      <c r="A111" s="704" t="s">
        <v>179</v>
      </c>
      <c r="B111" s="420"/>
      <c r="C111" s="743">
        <v>107299037.64999999</v>
      </c>
      <c r="D111" s="743">
        <v>133774008</v>
      </c>
      <c r="E111" s="743">
        <v>133774008</v>
      </c>
      <c r="F111" s="743">
        <v>15692905.039999995</v>
      </c>
      <c r="G111" s="743">
        <v>85995962.24000001</v>
      </c>
      <c r="H111" s="743">
        <f t="shared" si="47"/>
        <v>55739170</v>
      </c>
      <c r="I111" s="411">
        <f t="shared" si="2"/>
        <v>30256792.24000001</v>
      </c>
      <c r="J111" s="411">
        <f t="shared" si="3"/>
        <v>0.54282818061338212</v>
      </c>
      <c r="K111" s="745">
        <f t="shared" ref="K111:K112" si="48">D111</f>
        <v>133774008</v>
      </c>
      <c r="L111" s="101"/>
    </row>
    <row r="112" spans="1:12" x14ac:dyDescent="0.25">
      <c r="A112" s="704" t="s">
        <v>180</v>
      </c>
      <c r="B112" s="420"/>
      <c r="C112" s="743">
        <v>0</v>
      </c>
      <c r="D112" s="743">
        <v>0</v>
      </c>
      <c r="E112" s="743">
        <v>0</v>
      </c>
      <c r="F112" s="743">
        <v>0</v>
      </c>
      <c r="G112" s="743">
        <v>0</v>
      </c>
      <c r="H112" s="743">
        <f t="shared" si="47"/>
        <v>0</v>
      </c>
      <c r="I112" s="411">
        <f>G112-H112</f>
        <v>0</v>
      </c>
      <c r="J112" s="411" t="str">
        <f>IF(I112=0,"",I112/H112)</f>
        <v/>
      </c>
      <c r="K112" s="745">
        <f t="shared" si="48"/>
        <v>0</v>
      </c>
      <c r="L112" s="101"/>
    </row>
    <row r="113" spans="1:12" x14ac:dyDescent="0.25">
      <c r="A113" s="704" t="s">
        <v>1234</v>
      </c>
      <c r="B113" s="420"/>
      <c r="C113" s="743"/>
      <c r="D113" s="743"/>
      <c r="E113" s="743">
        <v>0</v>
      </c>
      <c r="F113" s="743"/>
      <c r="G113" s="743"/>
      <c r="H113" s="743">
        <f t="shared" si="47"/>
        <v>0</v>
      </c>
      <c r="I113" s="411">
        <f t="shared" si="2"/>
        <v>0</v>
      </c>
      <c r="J113" s="411" t="str">
        <f t="shared" si="3"/>
        <v/>
      </c>
      <c r="K113" s="745">
        <f>D113</f>
        <v>0</v>
      </c>
      <c r="L113" s="101"/>
    </row>
    <row r="114" spans="1:12" x14ac:dyDescent="0.25">
      <c r="A114" s="616" t="s">
        <v>123</v>
      </c>
      <c r="B114" s="420"/>
      <c r="C114" s="620">
        <f t="shared" ref="C114:H114" si="49">SUM(C115:C118)</f>
        <v>107135918.36000001</v>
      </c>
      <c r="D114" s="620">
        <f t="shared" si="49"/>
        <v>128630988</v>
      </c>
      <c r="E114" s="620">
        <f t="shared" si="49"/>
        <v>128630988</v>
      </c>
      <c r="F114" s="620">
        <f t="shared" si="49"/>
        <v>9461051.9200000018</v>
      </c>
      <c r="G114" s="620">
        <f t="shared" si="49"/>
        <v>47234743.460000001</v>
      </c>
      <c r="H114" s="620">
        <f t="shared" si="49"/>
        <v>53596245</v>
      </c>
      <c r="I114" s="620">
        <f t="shared" si="2"/>
        <v>-6361501.5399999991</v>
      </c>
      <c r="J114" s="620">
        <f t="shared" si="3"/>
        <v>-0.11869304538032467</v>
      </c>
      <c r="K114" s="620">
        <f>SUM(K115:K118)</f>
        <v>128630988</v>
      </c>
      <c r="L114" s="101"/>
    </row>
    <row r="115" spans="1:12" x14ac:dyDescent="0.25">
      <c r="A115" s="704" t="s">
        <v>1235</v>
      </c>
      <c r="B115" s="420"/>
      <c r="C115" s="743">
        <v>0</v>
      </c>
      <c r="D115" s="743">
        <v>0</v>
      </c>
      <c r="E115" s="743">
        <v>0</v>
      </c>
      <c r="F115" s="743">
        <v>0</v>
      </c>
      <c r="G115" s="743">
        <v>0</v>
      </c>
      <c r="H115" s="743">
        <f t="shared" ref="H115:H118" si="50">E115/12*5</f>
        <v>0</v>
      </c>
      <c r="I115" s="411">
        <f>G115-H115</f>
        <v>0</v>
      </c>
      <c r="J115" s="411" t="str">
        <f>IF(I115=0,"",I115/H115)</f>
        <v/>
      </c>
      <c r="K115" s="745">
        <f>D115</f>
        <v>0</v>
      </c>
      <c r="L115" s="101"/>
    </row>
    <row r="116" spans="1:12" x14ac:dyDescent="0.25">
      <c r="A116" s="704" t="s">
        <v>1236</v>
      </c>
      <c r="B116" s="420"/>
      <c r="C116" s="743">
        <v>0</v>
      </c>
      <c r="D116" s="743">
        <v>0</v>
      </c>
      <c r="E116" s="743">
        <v>0</v>
      </c>
      <c r="F116" s="743">
        <v>0</v>
      </c>
      <c r="G116" s="743">
        <v>0</v>
      </c>
      <c r="H116" s="743">
        <f t="shared" si="50"/>
        <v>0</v>
      </c>
      <c r="I116" s="411">
        <f>G116-H116</f>
        <v>0</v>
      </c>
      <c r="J116" s="411" t="str">
        <f>IF(I116=0,"",I116/H116)</f>
        <v/>
      </c>
      <c r="K116" s="745">
        <f>E116</f>
        <v>0</v>
      </c>
      <c r="L116" s="101"/>
    </row>
    <row r="117" spans="1:12" x14ac:dyDescent="0.25">
      <c r="A117" s="704" t="s">
        <v>1237</v>
      </c>
      <c r="B117" s="420"/>
      <c r="C117" s="743">
        <v>107135918.36000001</v>
      </c>
      <c r="D117" s="743">
        <v>128630988</v>
      </c>
      <c r="E117" s="743">
        <v>128630988</v>
      </c>
      <c r="F117" s="743">
        <v>9461051.9200000018</v>
      </c>
      <c r="G117" s="743">
        <v>47234743.460000001</v>
      </c>
      <c r="H117" s="743">
        <f t="shared" si="50"/>
        <v>53596245</v>
      </c>
      <c r="I117" s="411">
        <f t="shared" si="2"/>
        <v>-6361501.5399999991</v>
      </c>
      <c r="J117" s="411">
        <f t="shared" si="3"/>
        <v>-0.11869304538032467</v>
      </c>
      <c r="K117" s="745">
        <f>D117</f>
        <v>128630988</v>
      </c>
      <c r="L117" s="101"/>
    </row>
    <row r="118" spans="1:12" x14ac:dyDescent="0.25">
      <c r="A118" s="704" t="s">
        <v>1238</v>
      </c>
      <c r="B118" s="420"/>
      <c r="C118" s="743"/>
      <c r="D118" s="743"/>
      <c r="E118" s="743">
        <v>0</v>
      </c>
      <c r="F118" s="743"/>
      <c r="G118" s="743"/>
      <c r="H118" s="743">
        <f t="shared" si="50"/>
        <v>0</v>
      </c>
      <c r="I118" s="411">
        <f>G118-H118</f>
        <v>0</v>
      </c>
      <c r="J118" s="411" t="str">
        <f>IF(I118=0,"",I118/H118)</f>
        <v/>
      </c>
      <c r="K118" s="745">
        <f>D118</f>
        <v>0</v>
      </c>
      <c r="L118" s="101"/>
    </row>
    <row r="119" spans="1:12" x14ac:dyDescent="0.25">
      <c r="A119" s="417" t="s">
        <v>740</v>
      </c>
      <c r="B119" s="420"/>
      <c r="C119" s="620">
        <f>SUM(C120:C125)</f>
        <v>0</v>
      </c>
      <c r="D119" s="620">
        <f t="shared" ref="D119:K119" si="51">SUM(D120:D125)</f>
        <v>0</v>
      </c>
      <c r="E119" s="620">
        <f t="shared" si="51"/>
        <v>0</v>
      </c>
      <c r="F119" s="620">
        <f t="shared" si="51"/>
        <v>0</v>
      </c>
      <c r="G119" s="620">
        <f t="shared" si="51"/>
        <v>0</v>
      </c>
      <c r="H119" s="620">
        <f t="shared" si="51"/>
        <v>0</v>
      </c>
      <c r="I119" s="620">
        <f t="shared" si="2"/>
        <v>0</v>
      </c>
      <c r="J119" s="620" t="str">
        <f t="shared" si="3"/>
        <v/>
      </c>
      <c r="K119" s="623">
        <f t="shared" si="51"/>
        <v>0</v>
      </c>
      <c r="L119" s="101"/>
    </row>
    <row r="120" spans="1:12" x14ac:dyDescent="0.25">
      <c r="A120" s="616" t="s">
        <v>450</v>
      </c>
      <c r="B120" s="420"/>
      <c r="C120" s="743"/>
      <c r="D120" s="743"/>
      <c r="E120" s="743"/>
      <c r="F120" s="743"/>
      <c r="G120" s="743"/>
      <c r="H120" s="743"/>
      <c r="I120" s="411">
        <f t="shared" si="2"/>
        <v>0</v>
      </c>
      <c r="J120" s="411" t="str">
        <f t="shared" si="3"/>
        <v/>
      </c>
      <c r="K120" s="745"/>
      <c r="L120" s="101"/>
    </row>
    <row r="121" spans="1:12" x14ac:dyDescent="0.25">
      <c r="A121" s="616" t="s">
        <v>182</v>
      </c>
      <c r="B121" s="420"/>
      <c r="C121" s="743"/>
      <c r="D121" s="743"/>
      <c r="E121" s="743"/>
      <c r="F121" s="743"/>
      <c r="G121" s="743"/>
      <c r="H121" s="743"/>
      <c r="I121" s="411">
        <f t="shared" si="2"/>
        <v>0</v>
      </c>
      <c r="J121" s="411" t="str">
        <f t="shared" si="3"/>
        <v/>
      </c>
      <c r="K121" s="745"/>
      <c r="L121" s="101"/>
    </row>
    <row r="122" spans="1:12" x14ac:dyDescent="0.25">
      <c r="A122" s="616" t="s">
        <v>1239</v>
      </c>
      <c r="B122" s="420"/>
      <c r="C122" s="743"/>
      <c r="D122" s="743"/>
      <c r="E122" s="743"/>
      <c r="F122" s="743"/>
      <c r="G122" s="743"/>
      <c r="H122" s="743"/>
      <c r="I122" s="411">
        <f>G122-H122</f>
        <v>0</v>
      </c>
      <c r="J122" s="411" t="str">
        <f>IF(I122=0,"",I122/H122)</f>
        <v/>
      </c>
      <c r="K122" s="745"/>
      <c r="L122" s="101"/>
    </row>
    <row r="123" spans="1:12" x14ac:dyDescent="0.25">
      <c r="A123" s="616" t="s">
        <v>1240</v>
      </c>
      <c r="B123" s="420"/>
      <c r="C123" s="743"/>
      <c r="D123" s="743"/>
      <c r="E123" s="743"/>
      <c r="F123" s="743"/>
      <c r="G123" s="743"/>
      <c r="H123" s="743"/>
      <c r="I123" s="411">
        <f t="shared" si="2"/>
        <v>0</v>
      </c>
      <c r="J123" s="411" t="str">
        <f t="shared" si="3"/>
        <v/>
      </c>
      <c r="K123" s="745"/>
      <c r="L123" s="101"/>
    </row>
    <row r="124" spans="1:12" x14ac:dyDescent="0.25">
      <c r="A124" s="616" t="s">
        <v>451</v>
      </c>
      <c r="B124" s="418"/>
      <c r="C124" s="743"/>
      <c r="D124" s="743"/>
      <c r="E124" s="743"/>
      <c r="F124" s="743"/>
      <c r="G124" s="743"/>
      <c r="H124" s="743"/>
      <c r="I124" s="411">
        <f t="shared" si="2"/>
        <v>0</v>
      </c>
      <c r="J124" s="411" t="str">
        <f t="shared" si="3"/>
        <v/>
      </c>
      <c r="K124" s="745"/>
      <c r="L124" s="101"/>
    </row>
    <row r="125" spans="1:12" x14ac:dyDescent="0.25">
      <c r="A125" s="616" t="s">
        <v>183</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2">C6+C27+C74+C100+C119</f>
        <v>4045643331.02</v>
      </c>
      <c r="D126" s="625">
        <f t="shared" si="52"/>
        <v>5062923624</v>
      </c>
      <c r="E126" s="625">
        <f t="shared" si="52"/>
        <v>5062923624</v>
      </c>
      <c r="F126" s="625">
        <f t="shared" si="52"/>
        <v>302940021.04000002</v>
      </c>
      <c r="G126" s="625">
        <f t="shared" si="52"/>
        <v>1736147672.1600001</v>
      </c>
      <c r="H126" s="625">
        <f t="shared" si="52"/>
        <v>2109550265</v>
      </c>
      <c r="I126" s="625">
        <f>G126-H126</f>
        <v>-373402592.83999991</v>
      </c>
      <c r="J126" s="625">
        <f>IF(I126=0,"",I126/H126)</f>
        <v>-0.17700578129623279</v>
      </c>
      <c r="K126" s="626">
        <f>K6+K27+K74+K100+K119</f>
        <v>5062923624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3">C130+C133+C148</f>
        <v>1937992927.6399999</v>
      </c>
      <c r="D129" s="614">
        <f t="shared" si="53"/>
        <v>1228897836</v>
      </c>
      <c r="E129" s="614">
        <f t="shared" si="53"/>
        <v>1226735836</v>
      </c>
      <c r="F129" s="614">
        <f t="shared" si="53"/>
        <v>105745341.1800001</v>
      </c>
      <c r="G129" s="614">
        <f t="shared" si="53"/>
        <v>548636070.31999993</v>
      </c>
      <c r="H129" s="614">
        <f>H130+H133+H148</f>
        <v>511139931.66666669</v>
      </c>
      <c r="I129" s="614">
        <f t="shared" ref="I129:I246" si="54">G129-H129</f>
        <v>37496138.653333247</v>
      </c>
      <c r="J129" s="614">
        <f t="shared" ref="J129:J246" si="55">IF(I129=0,"",I129/H129)</f>
        <v>7.3357873901712431E-2</v>
      </c>
      <c r="K129" s="615">
        <f t="shared" si="53"/>
        <v>1228897836</v>
      </c>
      <c r="L129" s="101"/>
    </row>
    <row r="130" spans="1:12" x14ac:dyDescent="0.25">
      <c r="A130" s="616" t="str">
        <f>A7</f>
        <v>Executive and council</v>
      </c>
      <c r="B130" s="629"/>
      <c r="C130" s="617">
        <f t="shared" ref="C130:K130" si="56">SUM(C131:C132)</f>
        <v>104806196.77000001</v>
      </c>
      <c r="D130" s="617">
        <f t="shared" si="56"/>
        <v>330171120</v>
      </c>
      <c r="E130" s="617">
        <f t="shared" si="56"/>
        <v>330507124</v>
      </c>
      <c r="F130" s="617">
        <f t="shared" si="56"/>
        <v>7919516.3499999987</v>
      </c>
      <c r="G130" s="617">
        <f t="shared" si="56"/>
        <v>47650151.339999996</v>
      </c>
      <c r="H130" s="617">
        <f t="shared" si="56"/>
        <v>137711301.66666669</v>
      </c>
      <c r="I130" s="617">
        <f t="shared" si="54"/>
        <v>-90061150.326666683</v>
      </c>
      <c r="J130" s="617">
        <f t="shared" si="55"/>
        <v>-0.65398517940569412</v>
      </c>
      <c r="K130" s="619">
        <f t="shared" si="56"/>
        <v>330171120</v>
      </c>
      <c r="L130" s="101"/>
    </row>
    <row r="131" spans="1:12" x14ac:dyDescent="0.25">
      <c r="A131" s="704" t="str">
        <f>A8</f>
        <v>Mayor and Council</v>
      </c>
      <c r="B131" s="629"/>
      <c r="C131" s="743">
        <v>81467240.730000019</v>
      </c>
      <c r="D131" s="743">
        <v>304341192</v>
      </c>
      <c r="E131" s="743">
        <v>307507196</v>
      </c>
      <c r="F131" s="743">
        <v>7557658.4499999983</v>
      </c>
      <c r="G131" s="743">
        <v>45165897.719999999</v>
      </c>
      <c r="H131" s="743">
        <f t="shared" ref="H131:H132" si="57">E131/12*5</f>
        <v>128127998.33333334</v>
      </c>
      <c r="I131" s="411">
        <f t="shared" si="54"/>
        <v>-82962100.613333344</v>
      </c>
      <c r="J131" s="411">
        <f t="shared" si="55"/>
        <v>-0.64749392554703011</v>
      </c>
      <c r="K131" s="745">
        <f>D131</f>
        <v>304341192</v>
      </c>
      <c r="L131" s="101"/>
    </row>
    <row r="132" spans="1:12" ht="18.600000000000001" customHeight="1" x14ac:dyDescent="0.25">
      <c r="A132" s="704" t="str">
        <f>A9</f>
        <v>Municipal Manager, Town Secretary and Chief Executive</v>
      </c>
      <c r="B132" s="629"/>
      <c r="C132" s="743">
        <v>23338956.039999999</v>
      </c>
      <c r="D132" s="743">
        <v>25829928</v>
      </c>
      <c r="E132" s="743">
        <v>22999928</v>
      </c>
      <c r="F132" s="743">
        <v>361857.9</v>
      </c>
      <c r="G132" s="743">
        <v>2484253.62</v>
      </c>
      <c r="H132" s="743">
        <f t="shared" si="57"/>
        <v>9583303.333333334</v>
      </c>
      <c r="I132" s="411">
        <f t="shared" si="54"/>
        <v>-7099049.7133333338</v>
      </c>
      <c r="J132" s="411">
        <f t="shared" si="55"/>
        <v>-0.74077272381026582</v>
      </c>
      <c r="K132" s="745">
        <f>D132</f>
        <v>25829928</v>
      </c>
      <c r="L132" s="101"/>
    </row>
    <row r="133" spans="1:12" x14ac:dyDescent="0.25">
      <c r="A133" s="616" t="str">
        <f>A10</f>
        <v>Finance and administration</v>
      </c>
      <c r="B133" s="629"/>
      <c r="C133" s="617">
        <f t="shared" ref="C133:H133" si="58">SUM(C134:C147)</f>
        <v>1825592258.9499998</v>
      </c>
      <c r="D133" s="617">
        <f t="shared" si="58"/>
        <v>885212796</v>
      </c>
      <c r="E133" s="617">
        <f t="shared" si="58"/>
        <v>882714792</v>
      </c>
      <c r="F133" s="617">
        <f t="shared" si="58"/>
        <v>97027231.950000107</v>
      </c>
      <c r="G133" s="617">
        <f t="shared" si="58"/>
        <v>495713215.07999998</v>
      </c>
      <c r="H133" s="617">
        <f t="shared" si="58"/>
        <v>367797830</v>
      </c>
      <c r="I133" s="617">
        <f t="shared" si="54"/>
        <v>127915385.07999998</v>
      </c>
      <c r="J133" s="617">
        <f t="shared" si="55"/>
        <v>0.34778722071307483</v>
      </c>
      <c r="K133" s="617">
        <f>SUM(K134:K147)</f>
        <v>885212796</v>
      </c>
      <c r="L133" s="101"/>
    </row>
    <row r="134" spans="1:12" x14ac:dyDescent="0.25">
      <c r="A134" s="704" t="str">
        <f t="shared" ref="A134:A147" si="59">A11</f>
        <v>Administrative and Corporate Support</v>
      </c>
      <c r="B134" s="418"/>
      <c r="C134" s="743">
        <v>70109750.189999983</v>
      </c>
      <c r="D134" s="743">
        <v>28920228</v>
      </c>
      <c r="E134" s="743">
        <v>26924228</v>
      </c>
      <c r="F134" s="743">
        <v>2757519.3800000004</v>
      </c>
      <c r="G134" s="743">
        <v>12730588.640000001</v>
      </c>
      <c r="H134" s="743">
        <f t="shared" ref="H134:H147" si="60">E134/12*5</f>
        <v>11218428.333333332</v>
      </c>
      <c r="I134" s="411">
        <f t="shared" si="54"/>
        <v>1512160.3066666685</v>
      </c>
      <c r="J134" s="411">
        <f t="shared" si="55"/>
        <v>0.1347925272360643</v>
      </c>
      <c r="K134" s="745">
        <f>D134</f>
        <v>28920228</v>
      </c>
      <c r="L134" s="101"/>
    </row>
    <row r="135" spans="1:12" x14ac:dyDescent="0.25">
      <c r="A135" s="704" t="str">
        <f t="shared" si="59"/>
        <v>Asset Management</v>
      </c>
      <c r="B135" s="418"/>
      <c r="C135" s="743">
        <v>26463048.919999998</v>
      </c>
      <c r="D135" s="743">
        <v>55913916</v>
      </c>
      <c r="E135" s="743">
        <v>55913916</v>
      </c>
      <c r="F135" s="743">
        <v>936130.1399999999</v>
      </c>
      <c r="G135" s="743">
        <v>21868529.470000003</v>
      </c>
      <c r="H135" s="743">
        <f t="shared" si="60"/>
        <v>23297465</v>
      </c>
      <c r="I135" s="411">
        <f t="shared" si="54"/>
        <v>-1428935.5299999975</v>
      </c>
      <c r="J135" s="411">
        <f t="shared" si="55"/>
        <v>-6.1334378225270325E-2</v>
      </c>
      <c r="K135" s="745">
        <f t="shared" ref="K135:K146" si="61">D135</f>
        <v>55913916</v>
      </c>
      <c r="L135" s="101"/>
    </row>
    <row r="136" spans="1:12" x14ac:dyDescent="0.25">
      <c r="A136" s="704" t="str">
        <f t="shared" si="59"/>
        <v>Budget and Treasury Office</v>
      </c>
      <c r="B136" s="418"/>
      <c r="C136" s="743">
        <v>1337979285.55</v>
      </c>
      <c r="D136" s="743">
        <v>367345980</v>
      </c>
      <c r="E136" s="743">
        <v>366843476</v>
      </c>
      <c r="F136" s="743">
        <v>62662786.760000102</v>
      </c>
      <c r="G136" s="743">
        <v>324736748.06999999</v>
      </c>
      <c r="H136" s="743">
        <f t="shared" si="60"/>
        <v>152851448.33333334</v>
      </c>
      <c r="I136" s="411">
        <f t="shared" si="54"/>
        <v>171885299.73666665</v>
      </c>
      <c r="J136" s="411">
        <f t="shared" si="55"/>
        <v>1.1245251622465815</v>
      </c>
      <c r="K136" s="745">
        <f t="shared" si="61"/>
        <v>367345980</v>
      </c>
      <c r="L136" s="101"/>
    </row>
    <row r="137" spans="1:12" x14ac:dyDescent="0.25">
      <c r="A137" s="704" t="str">
        <f t="shared" si="59"/>
        <v>Finance</v>
      </c>
      <c r="B137" s="418"/>
      <c r="C137" s="743">
        <v>98472897.020000011</v>
      </c>
      <c r="D137" s="743">
        <v>76876836</v>
      </c>
      <c r="E137" s="743">
        <v>76726836</v>
      </c>
      <c r="F137" s="743">
        <v>883714.57</v>
      </c>
      <c r="G137" s="743">
        <v>22533461.009999998</v>
      </c>
      <c r="H137" s="743">
        <f t="shared" si="60"/>
        <v>31969515</v>
      </c>
      <c r="I137" s="411">
        <f t="shared" si="54"/>
        <v>-9436053.9900000021</v>
      </c>
      <c r="J137" s="411">
        <f t="shared" si="55"/>
        <v>-0.29515787117821468</v>
      </c>
      <c r="K137" s="745">
        <f t="shared" si="61"/>
        <v>76876836</v>
      </c>
      <c r="L137" s="101"/>
    </row>
    <row r="138" spans="1:12" x14ac:dyDescent="0.25">
      <c r="A138" s="704" t="str">
        <f t="shared" si="59"/>
        <v>Fleet Management</v>
      </c>
      <c r="B138" s="418"/>
      <c r="C138" s="743">
        <v>58368595.220000029</v>
      </c>
      <c r="D138" s="743">
        <v>51958404</v>
      </c>
      <c r="E138" s="743">
        <v>51958504</v>
      </c>
      <c r="F138" s="743">
        <v>2667132.9599999995</v>
      </c>
      <c r="G138" s="743">
        <v>14851790.780000003</v>
      </c>
      <c r="H138" s="743">
        <f t="shared" si="60"/>
        <v>21649376.666666664</v>
      </c>
      <c r="I138" s="411">
        <f t="shared" si="54"/>
        <v>-6797585.8866666611</v>
      </c>
      <c r="J138" s="411">
        <f t="shared" si="55"/>
        <v>-0.313985293494978</v>
      </c>
      <c r="K138" s="745">
        <f t="shared" si="61"/>
        <v>51958404</v>
      </c>
      <c r="L138" s="101"/>
    </row>
    <row r="139" spans="1:12" x14ac:dyDescent="0.25">
      <c r="A139" s="704" t="str">
        <f t="shared" si="59"/>
        <v>Human Resources</v>
      </c>
      <c r="B139" s="418"/>
      <c r="C139" s="743">
        <v>34011209.130000003</v>
      </c>
      <c r="D139" s="743">
        <v>70403640</v>
      </c>
      <c r="E139" s="743">
        <v>70553640</v>
      </c>
      <c r="F139" s="743">
        <v>7755574.3899999978</v>
      </c>
      <c r="G139" s="743">
        <v>21436336.73</v>
      </c>
      <c r="H139" s="743">
        <f t="shared" si="60"/>
        <v>29397350</v>
      </c>
      <c r="I139" s="411">
        <f t="shared" si="54"/>
        <v>-7961013.2699999996</v>
      </c>
      <c r="J139" s="411">
        <f t="shared" si="55"/>
        <v>-0.27080717377586755</v>
      </c>
      <c r="K139" s="745">
        <f t="shared" si="61"/>
        <v>70403640</v>
      </c>
      <c r="L139" s="101"/>
    </row>
    <row r="140" spans="1:12" x14ac:dyDescent="0.25">
      <c r="A140" s="704" t="str">
        <f t="shared" si="59"/>
        <v>Information Technology</v>
      </c>
      <c r="B140" s="418"/>
      <c r="C140" s="743">
        <v>22095162.289999999</v>
      </c>
      <c r="D140" s="743">
        <v>31015524</v>
      </c>
      <c r="E140" s="743">
        <v>31015524</v>
      </c>
      <c r="F140" s="743">
        <v>2123435.42</v>
      </c>
      <c r="G140" s="743">
        <v>10100985.83</v>
      </c>
      <c r="H140" s="743">
        <f t="shared" si="60"/>
        <v>12923135</v>
      </c>
      <c r="I140" s="411">
        <f t="shared" si="54"/>
        <v>-2822149.17</v>
      </c>
      <c r="J140" s="411">
        <f t="shared" si="55"/>
        <v>-0.21837960912735183</v>
      </c>
      <c r="K140" s="745">
        <f t="shared" si="61"/>
        <v>31015524</v>
      </c>
      <c r="L140" s="101"/>
    </row>
    <row r="141" spans="1:12" x14ac:dyDescent="0.25">
      <c r="A141" s="704" t="str">
        <f t="shared" si="59"/>
        <v>Legal Services</v>
      </c>
      <c r="B141" s="418"/>
      <c r="C141" s="743">
        <v>19132471.289999999</v>
      </c>
      <c r="D141" s="743">
        <v>16056912</v>
      </c>
      <c r="E141" s="743">
        <v>16056912</v>
      </c>
      <c r="F141" s="743">
        <v>843403.23000000021</v>
      </c>
      <c r="G141" s="743">
        <v>4460725.3199999994</v>
      </c>
      <c r="H141" s="743">
        <f t="shared" si="60"/>
        <v>6690380</v>
      </c>
      <c r="I141" s="411">
        <f t="shared" si="54"/>
        <v>-2229654.6800000006</v>
      </c>
      <c r="J141" s="411">
        <f t="shared" si="55"/>
        <v>-0.33326278626924039</v>
      </c>
      <c r="K141" s="745">
        <f t="shared" si="61"/>
        <v>16056912</v>
      </c>
      <c r="L141" s="101"/>
    </row>
    <row r="142" spans="1:12" ht="20.399999999999999" x14ac:dyDescent="0.25">
      <c r="A142" s="704" t="str">
        <f t="shared" si="59"/>
        <v>Marketing, Customer Relations, Publicity and Media Co-ordination</v>
      </c>
      <c r="B142" s="418"/>
      <c r="C142" s="743">
        <v>57277156.590000004</v>
      </c>
      <c r="D142" s="743">
        <v>59836908</v>
      </c>
      <c r="E142" s="743">
        <v>59837108</v>
      </c>
      <c r="F142" s="743">
        <v>4319535.3100000005</v>
      </c>
      <c r="G142" s="743">
        <v>22145680.650000002</v>
      </c>
      <c r="H142" s="743">
        <f t="shared" si="60"/>
        <v>24932128.333333336</v>
      </c>
      <c r="I142" s="411">
        <f t="shared" si="54"/>
        <v>-2786447.6833333336</v>
      </c>
      <c r="J142" s="411">
        <f t="shared" si="55"/>
        <v>-0.11176132442764446</v>
      </c>
      <c r="K142" s="745">
        <f t="shared" si="61"/>
        <v>59836908</v>
      </c>
      <c r="L142" s="101"/>
    </row>
    <row r="143" spans="1:12" x14ac:dyDescent="0.25">
      <c r="A143" s="704" t="str">
        <f t="shared" si="59"/>
        <v>Property Services</v>
      </c>
      <c r="B143" s="418"/>
      <c r="C143" s="743">
        <v>1891411.38</v>
      </c>
      <c r="D143" s="743">
        <v>5631816</v>
      </c>
      <c r="E143" s="743">
        <v>5631816</v>
      </c>
      <c r="F143" s="743">
        <v>170086.88</v>
      </c>
      <c r="G143" s="743">
        <v>812485.99</v>
      </c>
      <c r="H143" s="743">
        <f t="shared" si="60"/>
        <v>2346590</v>
      </c>
      <c r="I143" s="411">
        <f t="shared" si="54"/>
        <v>-1534104.01</v>
      </c>
      <c r="J143" s="411">
        <f t="shared" si="55"/>
        <v>-0.65375886286057638</v>
      </c>
      <c r="K143" s="745">
        <f t="shared" si="61"/>
        <v>5631816</v>
      </c>
      <c r="L143" s="101"/>
    </row>
    <row r="144" spans="1:12" x14ac:dyDescent="0.25">
      <c r="A144" s="704" t="str">
        <f t="shared" si="59"/>
        <v>Risk Management</v>
      </c>
      <c r="B144" s="418"/>
      <c r="C144" s="743">
        <v>83501651.26000002</v>
      </c>
      <c r="D144" s="743">
        <v>99995628</v>
      </c>
      <c r="E144" s="743">
        <v>99995828</v>
      </c>
      <c r="F144" s="743">
        <v>10056750.570000002</v>
      </c>
      <c r="G144" s="743">
        <v>35582460.949999996</v>
      </c>
      <c r="H144" s="743">
        <f t="shared" si="60"/>
        <v>41664928.333333336</v>
      </c>
      <c r="I144" s="411">
        <f t="shared" si="54"/>
        <v>-6082467.3833333403</v>
      </c>
      <c r="J144" s="411">
        <f t="shared" si="55"/>
        <v>-0.14598530770703769</v>
      </c>
      <c r="K144" s="745">
        <f t="shared" si="61"/>
        <v>99995628</v>
      </c>
      <c r="L144" s="101"/>
    </row>
    <row r="145" spans="1:12" x14ac:dyDescent="0.25">
      <c r="A145" s="704" t="str">
        <f t="shared" si="59"/>
        <v>Security Services</v>
      </c>
      <c r="B145" s="418"/>
      <c r="C145" s="743">
        <v>16289620.110000001</v>
      </c>
      <c r="D145" s="743">
        <v>21257004</v>
      </c>
      <c r="E145" s="743">
        <v>21257004</v>
      </c>
      <c r="F145" s="743">
        <v>1851162.34</v>
      </c>
      <c r="G145" s="743">
        <v>4453421.6399999997</v>
      </c>
      <c r="H145" s="743">
        <f t="shared" si="60"/>
        <v>8857085</v>
      </c>
      <c r="I145" s="411">
        <f t="shared" si="54"/>
        <v>-4403663.3600000003</v>
      </c>
      <c r="J145" s="411">
        <f t="shared" si="55"/>
        <v>-0.49719104648990048</v>
      </c>
      <c r="K145" s="745">
        <f t="shared" si="61"/>
        <v>21257004</v>
      </c>
      <c r="L145" s="101"/>
    </row>
    <row r="146" spans="1:12" x14ac:dyDescent="0.25">
      <c r="A146" s="704" t="str">
        <f t="shared" si="59"/>
        <v xml:space="preserve">Supply Chain Management </v>
      </c>
      <c r="B146" s="418"/>
      <c r="C146" s="743">
        <v>0</v>
      </c>
      <c r="D146" s="743">
        <v>0</v>
      </c>
      <c r="E146" s="743">
        <v>0</v>
      </c>
      <c r="F146" s="743">
        <v>0</v>
      </c>
      <c r="G146" s="743">
        <v>0</v>
      </c>
      <c r="H146" s="743">
        <f t="shared" si="60"/>
        <v>0</v>
      </c>
      <c r="I146" s="411">
        <f t="shared" si="54"/>
        <v>0</v>
      </c>
      <c r="J146" s="411" t="str">
        <f t="shared" si="55"/>
        <v/>
      </c>
      <c r="K146" s="745">
        <f t="shared" si="61"/>
        <v>0</v>
      </c>
      <c r="L146" s="101"/>
    </row>
    <row r="147" spans="1:12" x14ac:dyDescent="0.25">
      <c r="A147" s="704" t="str">
        <f t="shared" si="59"/>
        <v>Valuation Service</v>
      </c>
      <c r="B147" s="418"/>
      <c r="C147" s="743"/>
      <c r="D147" s="743"/>
      <c r="E147" s="743">
        <v>0</v>
      </c>
      <c r="F147" s="743"/>
      <c r="G147" s="743"/>
      <c r="H147" s="743">
        <f t="shared" si="60"/>
        <v>0</v>
      </c>
      <c r="I147" s="411">
        <f t="shared" si="54"/>
        <v>0</v>
      </c>
      <c r="J147" s="411" t="str">
        <f t="shared" si="55"/>
        <v/>
      </c>
      <c r="K147" s="745">
        <f t="shared" ref="K147" si="62">D147</f>
        <v>0</v>
      </c>
      <c r="L147" s="101"/>
    </row>
    <row r="148" spans="1:12" x14ac:dyDescent="0.25">
      <c r="A148" s="616" t="str">
        <f>A25</f>
        <v>Internal audit</v>
      </c>
      <c r="B148" s="629"/>
      <c r="C148" s="617">
        <f t="shared" ref="C148:H148" si="63">SUM(C149:C149)</f>
        <v>7594471.9199999999</v>
      </c>
      <c r="D148" s="617">
        <f t="shared" si="63"/>
        <v>13513920</v>
      </c>
      <c r="E148" s="617">
        <f t="shared" si="63"/>
        <v>13513920</v>
      </c>
      <c r="F148" s="617">
        <f t="shared" si="63"/>
        <v>798592.88000000012</v>
      </c>
      <c r="G148" s="617">
        <f t="shared" si="63"/>
        <v>5272703.8999999994</v>
      </c>
      <c r="H148" s="617">
        <f t="shared" si="63"/>
        <v>5630800</v>
      </c>
      <c r="I148" s="617">
        <f t="shared" si="54"/>
        <v>-358096.10000000056</v>
      </c>
      <c r="J148" s="617">
        <f t="shared" si="55"/>
        <v>-6.3595954393691936E-2</v>
      </c>
      <c r="K148" s="619">
        <f>SUM(K149:K149)</f>
        <v>13513920</v>
      </c>
      <c r="L148" s="101"/>
    </row>
    <row r="149" spans="1:12" x14ac:dyDescent="0.25">
      <c r="A149" s="704" t="str">
        <f>A26</f>
        <v>Governance Function</v>
      </c>
      <c r="B149" s="629"/>
      <c r="C149" s="743">
        <v>7594471.9199999999</v>
      </c>
      <c r="D149" s="743">
        <v>13513920</v>
      </c>
      <c r="E149" s="743">
        <v>13513920</v>
      </c>
      <c r="F149" s="743">
        <v>798592.88000000012</v>
      </c>
      <c r="G149" s="743">
        <v>5272703.8999999994</v>
      </c>
      <c r="H149" s="743">
        <f>E149/12*5</f>
        <v>5630800</v>
      </c>
      <c r="I149" s="411">
        <f t="shared" si="54"/>
        <v>-358096.10000000056</v>
      </c>
      <c r="J149" s="411">
        <f t="shared" si="55"/>
        <v>-6.3595954393691936E-2</v>
      </c>
      <c r="K149" s="745">
        <f>D149</f>
        <v>13513920</v>
      </c>
      <c r="L149" s="101"/>
    </row>
    <row r="150" spans="1:12" x14ac:dyDescent="0.25">
      <c r="A150" s="417" t="str">
        <f>A27</f>
        <v>Community and public safety</v>
      </c>
      <c r="B150" s="629"/>
      <c r="C150" s="614">
        <f t="shared" ref="C150:H150" si="64">C151+C173+C179+C186+C189</f>
        <v>212715115.09999999</v>
      </c>
      <c r="D150" s="614">
        <f t="shared" si="64"/>
        <v>272800224</v>
      </c>
      <c r="E150" s="614">
        <f t="shared" si="64"/>
        <v>274424024</v>
      </c>
      <c r="F150" s="614">
        <f t="shared" si="64"/>
        <v>17776946.07</v>
      </c>
      <c r="G150" s="614">
        <f t="shared" si="64"/>
        <v>78465399.780000001</v>
      </c>
      <c r="H150" s="614">
        <f t="shared" si="64"/>
        <v>102911947.66666667</v>
      </c>
      <c r="I150" s="614">
        <f t="shared" si="54"/>
        <v>-24446547.88666667</v>
      </c>
      <c r="J150" s="614">
        <f t="shared" si="55"/>
        <v>-0.23754819961088874</v>
      </c>
      <c r="K150" s="615">
        <f>K151+K173+K179+K186+K189</f>
        <v>272800224</v>
      </c>
      <c r="L150" s="101"/>
    </row>
    <row r="151" spans="1:12" x14ac:dyDescent="0.25">
      <c r="A151" s="616" t="str">
        <f>A28</f>
        <v>Community and social services</v>
      </c>
      <c r="B151" s="629"/>
      <c r="C151" s="620">
        <f t="shared" ref="C151:H151" si="65">SUM(C152:C172)</f>
        <v>66389373.119999997</v>
      </c>
      <c r="D151" s="620">
        <f t="shared" si="65"/>
        <v>65851692</v>
      </c>
      <c r="E151" s="620">
        <f t="shared" si="65"/>
        <v>67347108</v>
      </c>
      <c r="F151" s="620">
        <f t="shared" si="65"/>
        <v>6246386.9900000002</v>
      </c>
      <c r="G151" s="620">
        <f t="shared" si="65"/>
        <v>24843297.119999997</v>
      </c>
      <c r="H151" s="620">
        <f t="shared" si="65"/>
        <v>28061295.000000004</v>
      </c>
      <c r="I151" s="620">
        <f t="shared" si="54"/>
        <v>-3217997.8800000064</v>
      </c>
      <c r="J151" s="620">
        <f t="shared" si="55"/>
        <v>-0.11467745447956004</v>
      </c>
      <c r="K151" s="623">
        <f>SUM(K152:K172)</f>
        <v>65851692</v>
      </c>
      <c r="L151" s="101"/>
    </row>
    <row r="152" spans="1:12" x14ac:dyDescent="0.25">
      <c r="A152" s="704" t="str">
        <f t="shared" ref="A152:A172" si="66">A29</f>
        <v>Aged Care</v>
      </c>
      <c r="B152" s="629"/>
      <c r="C152" s="743">
        <v>0</v>
      </c>
      <c r="D152" s="743">
        <v>0</v>
      </c>
      <c r="E152" s="743">
        <v>0</v>
      </c>
      <c r="F152" s="743">
        <v>0</v>
      </c>
      <c r="G152" s="743">
        <v>0</v>
      </c>
      <c r="H152" s="743">
        <f t="shared" ref="H152:H172" si="67">E152/12*5</f>
        <v>0</v>
      </c>
      <c r="I152" s="411">
        <f t="shared" si="54"/>
        <v>0</v>
      </c>
      <c r="J152" s="411" t="str">
        <f t="shared" si="55"/>
        <v/>
      </c>
      <c r="K152" s="745">
        <f>D152</f>
        <v>0</v>
      </c>
      <c r="L152" s="101"/>
    </row>
    <row r="153" spans="1:12" x14ac:dyDescent="0.25">
      <c r="A153" s="704" t="str">
        <f t="shared" si="66"/>
        <v>Agricultural</v>
      </c>
      <c r="B153" s="629"/>
      <c r="C153" s="743">
        <v>0</v>
      </c>
      <c r="D153" s="743">
        <v>0</v>
      </c>
      <c r="E153" s="743">
        <v>0</v>
      </c>
      <c r="F153" s="743">
        <v>0</v>
      </c>
      <c r="G153" s="743">
        <v>0</v>
      </c>
      <c r="H153" s="743">
        <f t="shared" si="67"/>
        <v>0</v>
      </c>
      <c r="I153" s="411">
        <f t="shared" si="54"/>
        <v>0</v>
      </c>
      <c r="J153" s="411" t="str">
        <f t="shared" si="55"/>
        <v/>
      </c>
      <c r="K153" s="745">
        <f t="shared" ref="K153:K172" si="68">D153</f>
        <v>0</v>
      </c>
      <c r="L153" s="101"/>
    </row>
    <row r="154" spans="1:12" x14ac:dyDescent="0.25">
      <c r="A154" s="704" t="str">
        <f t="shared" si="66"/>
        <v>Animal Care and Diseases</v>
      </c>
      <c r="B154" s="629"/>
      <c r="C154" s="743">
        <v>0</v>
      </c>
      <c r="D154" s="743">
        <v>0</v>
      </c>
      <c r="E154" s="743">
        <v>0</v>
      </c>
      <c r="F154" s="743">
        <v>0</v>
      </c>
      <c r="G154" s="743">
        <v>0</v>
      </c>
      <c r="H154" s="743">
        <f t="shared" si="67"/>
        <v>0</v>
      </c>
      <c r="I154" s="411">
        <f t="shared" si="54"/>
        <v>0</v>
      </c>
      <c r="J154" s="411" t="str">
        <f t="shared" si="55"/>
        <v/>
      </c>
      <c r="K154" s="745">
        <f t="shared" si="68"/>
        <v>0</v>
      </c>
      <c r="L154" s="101"/>
    </row>
    <row r="155" spans="1:12" x14ac:dyDescent="0.25">
      <c r="A155" s="704" t="str">
        <f t="shared" si="66"/>
        <v>Cemeteries, Funeral Parlours and Crematoriums</v>
      </c>
      <c r="B155" s="629"/>
      <c r="C155" s="743">
        <v>14303708.589999998</v>
      </c>
      <c r="D155" s="743">
        <v>7052016</v>
      </c>
      <c r="E155" s="743">
        <v>7052116</v>
      </c>
      <c r="F155" s="743">
        <v>1988447.1</v>
      </c>
      <c r="G155" s="743">
        <v>6514886.299999998</v>
      </c>
      <c r="H155" s="743">
        <f t="shared" si="67"/>
        <v>2938381.666666667</v>
      </c>
      <c r="I155" s="411">
        <f t="shared" si="54"/>
        <v>3576504.633333331</v>
      </c>
      <c r="J155" s="411">
        <f t="shared" si="55"/>
        <v>1.2171681690998835</v>
      </c>
      <c r="K155" s="745">
        <f t="shared" si="68"/>
        <v>7052016</v>
      </c>
      <c r="L155" s="101"/>
    </row>
    <row r="156" spans="1:12" x14ac:dyDescent="0.25">
      <c r="A156" s="704" t="str">
        <f t="shared" si="66"/>
        <v>Child Care Facilities</v>
      </c>
      <c r="B156" s="629"/>
      <c r="C156" s="743">
        <v>0</v>
      </c>
      <c r="D156" s="743">
        <v>0</v>
      </c>
      <c r="E156" s="743">
        <v>0</v>
      </c>
      <c r="F156" s="743">
        <v>0</v>
      </c>
      <c r="G156" s="743">
        <v>0</v>
      </c>
      <c r="H156" s="743">
        <f t="shared" si="67"/>
        <v>0</v>
      </c>
      <c r="I156" s="411">
        <f t="shared" si="54"/>
        <v>0</v>
      </c>
      <c r="J156" s="411" t="str">
        <f t="shared" si="55"/>
        <v/>
      </c>
      <c r="K156" s="745">
        <f t="shared" si="68"/>
        <v>0</v>
      </c>
      <c r="L156" s="101"/>
    </row>
    <row r="157" spans="1:12" x14ac:dyDescent="0.25">
      <c r="A157" s="704" t="str">
        <f t="shared" si="66"/>
        <v>Community Halls and Facilities</v>
      </c>
      <c r="B157" s="629"/>
      <c r="C157" s="743">
        <v>23514169.120000001</v>
      </c>
      <c r="D157" s="743">
        <v>12372984</v>
      </c>
      <c r="E157" s="743">
        <v>12372984</v>
      </c>
      <c r="F157" s="743">
        <v>1204143.1100000001</v>
      </c>
      <c r="G157" s="743">
        <v>4658174.2499999991</v>
      </c>
      <c r="H157" s="743">
        <f t="shared" si="67"/>
        <v>5155410</v>
      </c>
      <c r="I157" s="411">
        <f t="shared" si="54"/>
        <v>-497235.75000000093</v>
      </c>
      <c r="J157" s="411">
        <f t="shared" si="55"/>
        <v>-9.6449312469813447E-2</v>
      </c>
      <c r="K157" s="745">
        <f t="shared" si="68"/>
        <v>12372984</v>
      </c>
      <c r="L157" s="101"/>
    </row>
    <row r="158" spans="1:12" x14ac:dyDescent="0.25">
      <c r="A158" s="704" t="str">
        <f t="shared" si="66"/>
        <v>Consumer Protection</v>
      </c>
      <c r="B158" s="629"/>
      <c r="C158" s="743">
        <v>0</v>
      </c>
      <c r="D158" s="743">
        <v>0</v>
      </c>
      <c r="E158" s="743">
        <v>0</v>
      </c>
      <c r="F158" s="743">
        <v>0</v>
      </c>
      <c r="G158" s="743">
        <v>0</v>
      </c>
      <c r="H158" s="743">
        <f t="shared" si="67"/>
        <v>0</v>
      </c>
      <c r="I158" s="411">
        <f t="shared" si="54"/>
        <v>0</v>
      </c>
      <c r="J158" s="411" t="str">
        <f t="shared" si="55"/>
        <v/>
      </c>
      <c r="K158" s="745">
        <f t="shared" si="68"/>
        <v>0</v>
      </c>
      <c r="L158" s="101"/>
    </row>
    <row r="159" spans="1:12" x14ac:dyDescent="0.25">
      <c r="A159" s="704" t="str">
        <f t="shared" si="66"/>
        <v>Cultural Matters</v>
      </c>
      <c r="B159" s="629"/>
      <c r="C159" s="743">
        <v>3582035.4499999988</v>
      </c>
      <c r="D159" s="743">
        <v>5061900</v>
      </c>
      <c r="E159" s="743">
        <v>5061900</v>
      </c>
      <c r="F159" s="743">
        <v>667339.06000000006</v>
      </c>
      <c r="G159" s="743">
        <v>2419349.4600000004</v>
      </c>
      <c r="H159" s="743">
        <f t="shared" si="67"/>
        <v>2109125</v>
      </c>
      <c r="I159" s="411">
        <f>G159-H159</f>
        <v>310224.46000000043</v>
      </c>
      <c r="J159" s="411">
        <f>IF(I159=0,"",I159/H159)</f>
        <v>0.14708680613998718</v>
      </c>
      <c r="K159" s="745">
        <f t="shared" si="68"/>
        <v>5061900</v>
      </c>
      <c r="L159" s="101"/>
    </row>
    <row r="160" spans="1:12" x14ac:dyDescent="0.25">
      <c r="A160" s="704" t="str">
        <f t="shared" si="66"/>
        <v>Disaster Management</v>
      </c>
      <c r="B160" s="629"/>
      <c r="C160" s="743">
        <v>136965.64000000001</v>
      </c>
      <c r="D160" s="743">
        <v>8503992</v>
      </c>
      <c r="E160" s="743">
        <v>9026992</v>
      </c>
      <c r="F160" s="743">
        <v>156000</v>
      </c>
      <c r="G160" s="743">
        <v>163831.5</v>
      </c>
      <c r="H160" s="743">
        <f t="shared" si="67"/>
        <v>3761246.666666667</v>
      </c>
      <c r="I160" s="411">
        <f>G160-H160</f>
        <v>-3597415.166666667</v>
      </c>
      <c r="J160" s="411">
        <f>IF(I160=0,"",I160/H160)</f>
        <v>-0.9564422345782515</v>
      </c>
      <c r="K160" s="745">
        <f t="shared" si="68"/>
        <v>8503992</v>
      </c>
      <c r="L160" s="101"/>
    </row>
    <row r="161" spans="1:12" x14ac:dyDescent="0.25">
      <c r="A161" s="704" t="str">
        <f t="shared" si="66"/>
        <v>Education</v>
      </c>
      <c r="B161" s="629"/>
      <c r="C161" s="743">
        <v>0</v>
      </c>
      <c r="D161" s="743">
        <v>0</v>
      </c>
      <c r="E161" s="743">
        <v>0</v>
      </c>
      <c r="F161" s="743">
        <v>0</v>
      </c>
      <c r="G161" s="743">
        <v>0</v>
      </c>
      <c r="H161" s="743">
        <f t="shared" si="67"/>
        <v>0</v>
      </c>
      <c r="I161" s="411">
        <f t="shared" ref="I161:I166" si="69">G161-H161</f>
        <v>0</v>
      </c>
      <c r="J161" s="411" t="str">
        <f t="shared" ref="J161:J166" si="70">IF(I161=0,"",I161/H161)</f>
        <v/>
      </c>
      <c r="K161" s="745">
        <f t="shared" si="68"/>
        <v>0</v>
      </c>
      <c r="L161" s="101"/>
    </row>
    <row r="162" spans="1:12" x14ac:dyDescent="0.25">
      <c r="A162" s="704" t="str">
        <f t="shared" si="66"/>
        <v>Indigenous and Customary Law</v>
      </c>
      <c r="B162" s="629"/>
      <c r="C162" s="743">
        <v>0</v>
      </c>
      <c r="D162" s="743">
        <v>0</v>
      </c>
      <c r="E162" s="743">
        <v>0</v>
      </c>
      <c r="F162" s="743">
        <v>0</v>
      </c>
      <c r="G162" s="743">
        <v>0</v>
      </c>
      <c r="H162" s="743">
        <f t="shared" si="67"/>
        <v>0</v>
      </c>
      <c r="I162" s="411">
        <f t="shared" si="69"/>
        <v>0</v>
      </c>
      <c r="J162" s="411" t="str">
        <f t="shared" si="70"/>
        <v/>
      </c>
      <c r="K162" s="745">
        <f t="shared" si="68"/>
        <v>0</v>
      </c>
      <c r="L162" s="101"/>
    </row>
    <row r="163" spans="1:12" x14ac:dyDescent="0.25">
      <c r="A163" s="704" t="str">
        <f t="shared" si="66"/>
        <v>Industrial Promotion</v>
      </c>
      <c r="B163" s="629"/>
      <c r="C163" s="743">
        <v>0</v>
      </c>
      <c r="D163" s="743">
        <v>0</v>
      </c>
      <c r="E163" s="743">
        <v>0</v>
      </c>
      <c r="F163" s="743">
        <v>0</v>
      </c>
      <c r="G163" s="743">
        <v>0</v>
      </c>
      <c r="H163" s="743">
        <f t="shared" si="67"/>
        <v>0</v>
      </c>
      <c r="I163" s="411">
        <f t="shared" si="69"/>
        <v>0</v>
      </c>
      <c r="J163" s="411" t="str">
        <f t="shared" si="70"/>
        <v/>
      </c>
      <c r="K163" s="745">
        <f t="shared" si="68"/>
        <v>0</v>
      </c>
      <c r="L163" s="101"/>
    </row>
    <row r="164" spans="1:12" x14ac:dyDescent="0.25">
      <c r="A164" s="704" t="str">
        <f t="shared" si="66"/>
        <v>Language Policy</v>
      </c>
      <c r="B164" s="629"/>
      <c r="C164" s="743">
        <v>0</v>
      </c>
      <c r="D164" s="743">
        <v>0</v>
      </c>
      <c r="E164" s="743">
        <v>0</v>
      </c>
      <c r="F164" s="743">
        <v>0</v>
      </c>
      <c r="G164" s="743">
        <v>0</v>
      </c>
      <c r="H164" s="743">
        <f t="shared" si="67"/>
        <v>0</v>
      </c>
      <c r="I164" s="411">
        <f t="shared" si="69"/>
        <v>0</v>
      </c>
      <c r="J164" s="411" t="str">
        <f t="shared" si="70"/>
        <v/>
      </c>
      <c r="K164" s="745">
        <f t="shared" si="68"/>
        <v>0</v>
      </c>
      <c r="L164" s="101"/>
    </row>
    <row r="165" spans="1:12" x14ac:dyDescent="0.25">
      <c r="A165" s="704" t="str">
        <f t="shared" si="66"/>
        <v>Libraries and Archives</v>
      </c>
      <c r="B165" s="629"/>
      <c r="C165" s="743">
        <v>16911705.619999997</v>
      </c>
      <c r="D165" s="743">
        <v>21293292</v>
      </c>
      <c r="E165" s="743">
        <v>22393292</v>
      </c>
      <c r="F165" s="743">
        <v>1583086.6199999996</v>
      </c>
      <c r="G165" s="743">
        <v>7704565.9600000009</v>
      </c>
      <c r="H165" s="743">
        <f t="shared" si="67"/>
        <v>9330538.333333334</v>
      </c>
      <c r="I165" s="411">
        <f t="shared" si="69"/>
        <v>-1625972.3733333331</v>
      </c>
      <c r="J165" s="411">
        <f t="shared" si="70"/>
        <v>-0.17426351141225682</v>
      </c>
      <c r="K165" s="745">
        <f t="shared" si="68"/>
        <v>21293292</v>
      </c>
      <c r="L165" s="101"/>
    </row>
    <row r="166" spans="1:12" x14ac:dyDescent="0.25">
      <c r="A166" s="704" t="str">
        <f t="shared" si="66"/>
        <v>Literacy Programmes</v>
      </c>
      <c r="B166" s="629"/>
      <c r="C166" s="743">
        <v>0</v>
      </c>
      <c r="D166" s="743">
        <v>0</v>
      </c>
      <c r="E166" s="743">
        <v>0</v>
      </c>
      <c r="F166" s="743">
        <v>0</v>
      </c>
      <c r="G166" s="743">
        <v>0</v>
      </c>
      <c r="H166" s="743">
        <f t="shared" si="67"/>
        <v>0</v>
      </c>
      <c r="I166" s="411">
        <f t="shared" si="69"/>
        <v>0</v>
      </c>
      <c r="J166" s="411" t="str">
        <f t="shared" si="70"/>
        <v/>
      </c>
      <c r="K166" s="745">
        <f t="shared" si="68"/>
        <v>0</v>
      </c>
      <c r="L166" s="101"/>
    </row>
    <row r="167" spans="1:12" x14ac:dyDescent="0.25">
      <c r="A167" s="704" t="str">
        <f t="shared" si="66"/>
        <v>Media Services</v>
      </c>
      <c r="B167" s="629"/>
      <c r="C167" s="743">
        <v>0</v>
      </c>
      <c r="D167" s="743">
        <v>0</v>
      </c>
      <c r="E167" s="743">
        <v>0</v>
      </c>
      <c r="F167" s="743">
        <v>0</v>
      </c>
      <c r="G167" s="743">
        <v>0</v>
      </c>
      <c r="H167" s="743">
        <f t="shared" si="67"/>
        <v>0</v>
      </c>
      <c r="I167" s="411">
        <f t="shared" si="54"/>
        <v>0</v>
      </c>
      <c r="J167" s="411" t="str">
        <f t="shared" si="55"/>
        <v/>
      </c>
      <c r="K167" s="745">
        <f t="shared" si="68"/>
        <v>0</v>
      </c>
      <c r="L167" s="101"/>
    </row>
    <row r="168" spans="1:12" x14ac:dyDescent="0.25">
      <c r="A168" s="704" t="str">
        <f t="shared" si="66"/>
        <v>Museums and Art Galleries</v>
      </c>
      <c r="B168" s="629"/>
      <c r="C168" s="743">
        <v>7940788.7000000011</v>
      </c>
      <c r="D168" s="743">
        <v>11567508</v>
      </c>
      <c r="E168" s="743">
        <v>11439824</v>
      </c>
      <c r="F168" s="743">
        <v>647371.10000000009</v>
      </c>
      <c r="G168" s="743">
        <v>3382489.6499999994</v>
      </c>
      <c r="H168" s="743">
        <f t="shared" si="67"/>
        <v>4766593.333333333</v>
      </c>
      <c r="I168" s="411">
        <f t="shared" si="54"/>
        <v>-1384103.6833333336</v>
      </c>
      <c r="J168" s="411">
        <f t="shared" si="55"/>
        <v>-0.29037586941897015</v>
      </c>
      <c r="K168" s="745">
        <f t="shared" si="68"/>
        <v>11567508</v>
      </c>
      <c r="L168" s="101"/>
    </row>
    <row r="169" spans="1:12" x14ac:dyDescent="0.25">
      <c r="A169" s="704" t="str">
        <f t="shared" si="66"/>
        <v>Population Development</v>
      </c>
      <c r="B169" s="629"/>
      <c r="C169" s="743">
        <v>0</v>
      </c>
      <c r="D169" s="743">
        <v>0</v>
      </c>
      <c r="E169" s="743">
        <v>0</v>
      </c>
      <c r="F169" s="743">
        <v>0</v>
      </c>
      <c r="G169" s="743">
        <v>0</v>
      </c>
      <c r="H169" s="743">
        <f t="shared" si="67"/>
        <v>0</v>
      </c>
      <c r="I169" s="411">
        <f t="shared" si="54"/>
        <v>0</v>
      </c>
      <c r="J169" s="411" t="str">
        <f t="shared" si="55"/>
        <v/>
      </c>
      <c r="K169" s="745">
        <f t="shared" si="68"/>
        <v>0</v>
      </c>
      <c r="L169" s="101"/>
    </row>
    <row r="170" spans="1:12" x14ac:dyDescent="0.25">
      <c r="A170" s="704" t="str">
        <f t="shared" si="66"/>
        <v>Provincial Cultural Matters</v>
      </c>
      <c r="B170" s="629"/>
      <c r="C170" s="743">
        <v>0</v>
      </c>
      <c r="D170" s="743">
        <v>0</v>
      </c>
      <c r="E170" s="743">
        <v>0</v>
      </c>
      <c r="F170" s="743">
        <v>0</v>
      </c>
      <c r="G170" s="743">
        <v>0</v>
      </c>
      <c r="H170" s="743">
        <f t="shared" si="67"/>
        <v>0</v>
      </c>
      <c r="I170" s="411">
        <f t="shared" si="54"/>
        <v>0</v>
      </c>
      <c r="J170" s="411" t="str">
        <f t="shared" si="55"/>
        <v/>
      </c>
      <c r="K170" s="745">
        <f t="shared" si="68"/>
        <v>0</v>
      </c>
      <c r="L170" s="101"/>
    </row>
    <row r="171" spans="1:12" x14ac:dyDescent="0.25">
      <c r="A171" s="704" t="str">
        <f t="shared" si="66"/>
        <v>Theatres</v>
      </c>
      <c r="B171" s="629"/>
      <c r="C171" s="743">
        <v>0</v>
      </c>
      <c r="D171" s="743">
        <v>0</v>
      </c>
      <c r="E171" s="743">
        <v>0</v>
      </c>
      <c r="F171" s="743">
        <v>0</v>
      </c>
      <c r="G171" s="743">
        <v>0</v>
      </c>
      <c r="H171" s="743">
        <f t="shared" si="67"/>
        <v>0</v>
      </c>
      <c r="I171" s="411">
        <f t="shared" si="54"/>
        <v>0</v>
      </c>
      <c r="J171" s="411" t="str">
        <f t="shared" si="55"/>
        <v/>
      </c>
      <c r="K171" s="745">
        <f t="shared" si="68"/>
        <v>0</v>
      </c>
      <c r="L171" s="101"/>
    </row>
    <row r="172" spans="1:12" x14ac:dyDescent="0.25">
      <c r="A172" s="704" t="str">
        <f t="shared" si="66"/>
        <v>Zoo's</v>
      </c>
      <c r="B172" s="629"/>
      <c r="C172" s="743">
        <v>0</v>
      </c>
      <c r="D172" s="743">
        <v>0</v>
      </c>
      <c r="E172" s="743">
        <v>0</v>
      </c>
      <c r="F172" s="743">
        <v>0</v>
      </c>
      <c r="G172" s="743">
        <v>0</v>
      </c>
      <c r="H172" s="743">
        <f t="shared" si="67"/>
        <v>0</v>
      </c>
      <c r="I172" s="411">
        <f t="shared" si="54"/>
        <v>0</v>
      </c>
      <c r="J172" s="411" t="str">
        <f t="shared" si="55"/>
        <v/>
      </c>
      <c r="K172" s="745">
        <f t="shared" si="68"/>
        <v>0</v>
      </c>
      <c r="L172" s="101"/>
    </row>
    <row r="173" spans="1:12" x14ac:dyDescent="0.25">
      <c r="A173" s="616" t="str">
        <f t="shared" ref="A173:A181" si="71">A50</f>
        <v>Sport and recreation</v>
      </c>
      <c r="B173" s="629"/>
      <c r="C173" s="620">
        <f t="shared" ref="C173:K173" si="72">SUM(C174:C178)</f>
        <v>85674383.310000002</v>
      </c>
      <c r="D173" s="620">
        <f t="shared" si="72"/>
        <v>136536828</v>
      </c>
      <c r="E173" s="620">
        <f t="shared" si="72"/>
        <v>136664812</v>
      </c>
      <c r="F173" s="620">
        <f t="shared" si="72"/>
        <v>6874849.96</v>
      </c>
      <c r="G173" s="620">
        <f t="shared" si="72"/>
        <v>28863185.419999994</v>
      </c>
      <c r="H173" s="620">
        <f>D173/12*4</f>
        <v>45512276</v>
      </c>
      <c r="I173" s="620">
        <f t="shared" ref="I173:I178" si="73">G173-H173</f>
        <v>-16649090.580000006</v>
      </c>
      <c r="J173" s="620">
        <f t="shared" ref="J173:J178" si="74">IF(I173=0,"",I173/H173)</f>
        <v>-0.36581538088756549</v>
      </c>
      <c r="K173" s="623">
        <f t="shared" si="72"/>
        <v>136536828</v>
      </c>
      <c r="L173" s="101"/>
    </row>
    <row r="174" spans="1:12" x14ac:dyDescent="0.25">
      <c r="A174" s="704" t="str">
        <f t="shared" si="71"/>
        <v xml:space="preserve">Beaches and Jetties </v>
      </c>
      <c r="B174" s="629"/>
      <c r="C174" s="743">
        <v>0</v>
      </c>
      <c r="D174" s="743">
        <v>0</v>
      </c>
      <c r="E174" s="743">
        <v>0</v>
      </c>
      <c r="F174" s="743">
        <v>0</v>
      </c>
      <c r="G174" s="743">
        <v>0</v>
      </c>
      <c r="H174" s="743">
        <f t="shared" ref="H174:H178" si="75">E174/12*5</f>
        <v>0</v>
      </c>
      <c r="I174" s="411">
        <f t="shared" si="73"/>
        <v>0</v>
      </c>
      <c r="J174" s="411" t="str">
        <f t="shared" si="74"/>
        <v/>
      </c>
      <c r="K174" s="745">
        <f>D174</f>
        <v>0</v>
      </c>
      <c r="L174" s="101"/>
    </row>
    <row r="175" spans="1:12" x14ac:dyDescent="0.25">
      <c r="A175" s="704" t="str">
        <f t="shared" si="71"/>
        <v>Casinos, Racing, Gambling, Wagering</v>
      </c>
      <c r="B175" s="629"/>
      <c r="C175" s="743">
        <v>0</v>
      </c>
      <c r="D175" s="743">
        <v>0</v>
      </c>
      <c r="E175" s="743">
        <v>0</v>
      </c>
      <c r="F175" s="743">
        <v>0</v>
      </c>
      <c r="G175" s="743">
        <v>0</v>
      </c>
      <c r="H175" s="743">
        <f t="shared" si="75"/>
        <v>0</v>
      </c>
      <c r="I175" s="411">
        <f t="shared" si="73"/>
        <v>0</v>
      </c>
      <c r="J175" s="411" t="str">
        <f t="shared" si="74"/>
        <v/>
      </c>
      <c r="K175" s="745">
        <f>D175</f>
        <v>0</v>
      </c>
      <c r="L175" s="101"/>
    </row>
    <row r="176" spans="1:12" x14ac:dyDescent="0.25">
      <c r="A176" s="704" t="str">
        <f t="shared" si="71"/>
        <v>Community Parks (including Nurseries)</v>
      </c>
      <c r="B176" s="629"/>
      <c r="C176" s="743">
        <v>41495442.839999996</v>
      </c>
      <c r="D176" s="743">
        <v>39189996</v>
      </c>
      <c r="E176" s="743">
        <v>39190096</v>
      </c>
      <c r="F176" s="743">
        <v>3349768.48</v>
      </c>
      <c r="G176" s="743">
        <v>14224912.559999999</v>
      </c>
      <c r="H176" s="743">
        <f t="shared" si="75"/>
        <v>16329206.666666668</v>
      </c>
      <c r="I176" s="411">
        <f t="shared" si="73"/>
        <v>-2104294.1066666692</v>
      </c>
      <c r="J176" s="411">
        <f t="shared" si="74"/>
        <v>-0.12886689167589704</v>
      </c>
      <c r="K176" s="745">
        <f>D176</f>
        <v>39189996</v>
      </c>
      <c r="L176" s="101"/>
    </row>
    <row r="177" spans="1:12" x14ac:dyDescent="0.25">
      <c r="A177" s="704" t="str">
        <f t="shared" si="71"/>
        <v>Recreational Facilities</v>
      </c>
      <c r="B177" s="629"/>
      <c r="C177" s="743">
        <v>43080663.31000001</v>
      </c>
      <c r="D177" s="743">
        <v>97346832</v>
      </c>
      <c r="E177" s="743">
        <v>97474716</v>
      </c>
      <c r="F177" s="743">
        <v>3525081.48</v>
      </c>
      <c r="G177" s="743">
        <v>14638272.859999998</v>
      </c>
      <c r="H177" s="743">
        <f t="shared" si="75"/>
        <v>40614465</v>
      </c>
      <c r="I177" s="411">
        <f t="shared" si="73"/>
        <v>-25976192.140000001</v>
      </c>
      <c r="J177" s="411">
        <f t="shared" si="74"/>
        <v>-0.63957981817561804</v>
      </c>
      <c r="K177" s="745">
        <f>D177</f>
        <v>97346832</v>
      </c>
      <c r="L177" s="101"/>
    </row>
    <row r="178" spans="1:12" x14ac:dyDescent="0.25">
      <c r="A178" s="704" t="str">
        <f t="shared" si="71"/>
        <v>Sports Grounds and Stadiums</v>
      </c>
      <c r="B178" s="629"/>
      <c r="C178" s="743">
        <v>1098277.1599999999</v>
      </c>
      <c r="D178" s="743">
        <v>0</v>
      </c>
      <c r="E178" s="743">
        <v>0</v>
      </c>
      <c r="F178" s="743">
        <v>0</v>
      </c>
      <c r="G178" s="743">
        <v>0</v>
      </c>
      <c r="H178" s="743">
        <f t="shared" si="75"/>
        <v>0</v>
      </c>
      <c r="I178" s="411">
        <f t="shared" si="73"/>
        <v>0</v>
      </c>
      <c r="J178" s="411" t="str">
        <f t="shared" si="74"/>
        <v/>
      </c>
      <c r="K178" s="745">
        <f>D178</f>
        <v>0</v>
      </c>
      <c r="L178" s="101"/>
    </row>
    <row r="179" spans="1:12" x14ac:dyDescent="0.25">
      <c r="A179" s="616" t="str">
        <f t="shared" si="71"/>
        <v>Public safety</v>
      </c>
      <c r="B179" s="629"/>
      <c r="C179" s="620">
        <f t="shared" ref="C179:K179" si="76">SUM(C180:C185)</f>
        <v>56503947.349999994</v>
      </c>
      <c r="D179" s="620">
        <f t="shared" si="76"/>
        <v>51197808</v>
      </c>
      <c r="E179" s="620">
        <f t="shared" si="76"/>
        <v>51197808</v>
      </c>
      <c r="F179" s="620">
        <f t="shared" si="76"/>
        <v>3466975.6099999994</v>
      </c>
      <c r="G179" s="620">
        <f t="shared" si="76"/>
        <v>18609044.670000002</v>
      </c>
      <c r="H179" s="620">
        <f t="shared" si="76"/>
        <v>21332420</v>
      </c>
      <c r="I179" s="620">
        <f t="shared" si="54"/>
        <v>-2723375.3299999982</v>
      </c>
      <c r="J179" s="620">
        <f t="shared" si="55"/>
        <v>-0.12766368419522953</v>
      </c>
      <c r="K179" s="623">
        <f t="shared" si="76"/>
        <v>51197808</v>
      </c>
      <c r="L179" s="101"/>
    </row>
    <row r="180" spans="1:12" x14ac:dyDescent="0.25">
      <c r="A180" s="704" t="str">
        <f t="shared" si="71"/>
        <v>Civil Defence</v>
      </c>
      <c r="B180" s="629"/>
      <c r="C180" s="743">
        <v>6473255.2599999998</v>
      </c>
      <c r="D180" s="743">
        <v>0</v>
      </c>
      <c r="E180" s="743">
        <v>0</v>
      </c>
      <c r="F180" s="743">
        <v>0</v>
      </c>
      <c r="G180" s="743">
        <v>0</v>
      </c>
      <c r="H180" s="743">
        <f t="shared" ref="H180:H185" si="77">E180/12*5</f>
        <v>0</v>
      </c>
      <c r="I180" s="411">
        <f t="shared" si="54"/>
        <v>0</v>
      </c>
      <c r="J180" s="411" t="str">
        <f t="shared" si="55"/>
        <v/>
      </c>
      <c r="K180" s="745">
        <f t="shared" ref="K180:K185" si="78">D180</f>
        <v>0</v>
      </c>
      <c r="L180" s="101"/>
    </row>
    <row r="181" spans="1:12" x14ac:dyDescent="0.25">
      <c r="A181" s="704" t="str">
        <f t="shared" si="71"/>
        <v>Cleansing</v>
      </c>
      <c r="B181" s="629"/>
      <c r="C181" s="743">
        <v>4021155.87</v>
      </c>
      <c r="D181" s="743">
        <v>0</v>
      </c>
      <c r="E181" s="743">
        <v>0</v>
      </c>
      <c r="F181" s="743">
        <v>0</v>
      </c>
      <c r="G181" s="743">
        <v>0</v>
      </c>
      <c r="H181" s="743">
        <f t="shared" si="77"/>
        <v>0</v>
      </c>
      <c r="I181" s="411">
        <f t="shared" si="54"/>
        <v>0</v>
      </c>
      <c r="J181" s="411" t="str">
        <f t="shared" si="55"/>
        <v/>
      </c>
      <c r="K181" s="745">
        <f t="shared" si="78"/>
        <v>0</v>
      </c>
      <c r="L181" s="101"/>
    </row>
    <row r="182" spans="1:12" x14ac:dyDescent="0.25">
      <c r="A182" s="704" t="str">
        <f t="shared" ref="A182:A189" si="79">A59</f>
        <v>Control of Public Nuisances</v>
      </c>
      <c r="B182" s="629"/>
      <c r="C182" s="743">
        <v>27563368.489999998</v>
      </c>
      <c r="D182" s="743"/>
      <c r="E182" s="743">
        <v>0</v>
      </c>
      <c r="F182" s="743"/>
      <c r="G182" s="743"/>
      <c r="H182" s="743">
        <f t="shared" si="77"/>
        <v>0</v>
      </c>
      <c r="I182" s="411">
        <f>G182-H182</f>
        <v>0</v>
      </c>
      <c r="J182" s="411" t="str">
        <f>IF(I182=0,"",I182/H182)</f>
        <v/>
      </c>
      <c r="K182" s="745">
        <f t="shared" si="78"/>
        <v>0</v>
      </c>
      <c r="L182" s="101"/>
    </row>
    <row r="183" spans="1:12" x14ac:dyDescent="0.25">
      <c r="A183" s="704" t="str">
        <f t="shared" si="79"/>
        <v xml:space="preserve">Fencing and Fences </v>
      </c>
      <c r="B183" s="629"/>
      <c r="C183" s="743"/>
      <c r="D183" s="743"/>
      <c r="E183" s="743">
        <v>0</v>
      </c>
      <c r="F183" s="743"/>
      <c r="G183" s="743"/>
      <c r="H183" s="743">
        <f t="shared" si="77"/>
        <v>0</v>
      </c>
      <c r="I183" s="411">
        <f t="shared" si="54"/>
        <v>0</v>
      </c>
      <c r="J183" s="411" t="str">
        <f t="shared" si="55"/>
        <v/>
      </c>
      <c r="K183" s="745">
        <f t="shared" si="78"/>
        <v>0</v>
      </c>
      <c r="L183" s="101"/>
    </row>
    <row r="184" spans="1:12" x14ac:dyDescent="0.25">
      <c r="A184" s="704" t="str">
        <f t="shared" si="79"/>
        <v>Fire Fighting and Protection</v>
      </c>
      <c r="B184" s="629"/>
      <c r="C184" s="743">
        <v>18446167.73</v>
      </c>
      <c r="D184" s="743">
        <v>51197808</v>
      </c>
      <c r="E184" s="743">
        <v>51197808</v>
      </c>
      <c r="F184" s="743">
        <v>3466975.6099999994</v>
      </c>
      <c r="G184" s="743">
        <v>18609044.670000002</v>
      </c>
      <c r="H184" s="743">
        <f t="shared" si="77"/>
        <v>21332420</v>
      </c>
      <c r="I184" s="411">
        <f t="shared" si="54"/>
        <v>-2723375.3299999982</v>
      </c>
      <c r="J184" s="411">
        <f t="shared" si="55"/>
        <v>-0.12766368419522953</v>
      </c>
      <c r="K184" s="745">
        <f t="shared" si="78"/>
        <v>51197808</v>
      </c>
      <c r="L184" s="101"/>
    </row>
    <row r="185" spans="1:12" x14ac:dyDescent="0.25">
      <c r="A185" s="704" t="str">
        <f t="shared" si="79"/>
        <v>Licensing and Control of Animals</v>
      </c>
      <c r="B185" s="629"/>
      <c r="C185" s="743"/>
      <c r="D185" s="743"/>
      <c r="E185" s="743">
        <v>0</v>
      </c>
      <c r="F185" s="743"/>
      <c r="G185" s="743"/>
      <c r="H185" s="743">
        <f t="shared" si="77"/>
        <v>0</v>
      </c>
      <c r="I185" s="411">
        <f t="shared" si="54"/>
        <v>0</v>
      </c>
      <c r="J185" s="411" t="str">
        <f t="shared" si="55"/>
        <v/>
      </c>
      <c r="K185" s="745">
        <f t="shared" si="78"/>
        <v>0</v>
      </c>
      <c r="L185" s="101"/>
    </row>
    <row r="186" spans="1:12" x14ac:dyDescent="0.25">
      <c r="A186" s="616" t="str">
        <f t="shared" si="79"/>
        <v>Housing</v>
      </c>
      <c r="B186" s="629"/>
      <c r="C186" s="620">
        <f t="shared" ref="C186:H186" si="80">SUM(C187:C188)</f>
        <v>589033.43000000005</v>
      </c>
      <c r="D186" s="620">
        <f t="shared" si="80"/>
        <v>12573336</v>
      </c>
      <c r="E186" s="620">
        <f t="shared" si="80"/>
        <v>12573736</v>
      </c>
      <c r="F186" s="620">
        <f t="shared" si="80"/>
        <v>851638.61999999988</v>
      </c>
      <c r="G186" s="620">
        <f t="shared" si="80"/>
        <v>4391120.8699999992</v>
      </c>
      <c r="H186" s="620">
        <f t="shared" si="80"/>
        <v>5239056.666666667</v>
      </c>
      <c r="I186" s="620">
        <f>G186-H186</f>
        <v>-847935.7966666678</v>
      </c>
      <c r="J186" s="620">
        <f>IF(I186=0,"",I186/H186)</f>
        <v>-0.1618489454526485</v>
      </c>
      <c r="K186" s="620">
        <f>SUM(K187:K188)</f>
        <v>12573336</v>
      </c>
      <c r="L186" s="101"/>
    </row>
    <row r="187" spans="1:12" x14ac:dyDescent="0.25">
      <c r="A187" s="704" t="str">
        <f t="shared" si="79"/>
        <v>Housing</v>
      </c>
      <c r="B187" s="629"/>
      <c r="C187" s="743">
        <v>589033.43000000005</v>
      </c>
      <c r="D187" s="743">
        <v>12573336</v>
      </c>
      <c r="E187" s="743">
        <v>12573736</v>
      </c>
      <c r="F187" s="743">
        <v>851638.61999999988</v>
      </c>
      <c r="G187" s="743">
        <v>4391120.8699999992</v>
      </c>
      <c r="H187" s="743">
        <f t="shared" ref="H187:H188" si="81">E187/12*5</f>
        <v>5239056.666666667</v>
      </c>
      <c r="I187" s="411">
        <f>G187-H187</f>
        <v>-847935.7966666678</v>
      </c>
      <c r="J187" s="411">
        <f>IF(I187=0,"",I187/H187)</f>
        <v>-0.1618489454526485</v>
      </c>
      <c r="K187" s="745">
        <f>D187</f>
        <v>12573336</v>
      </c>
      <c r="L187" s="101"/>
    </row>
    <row r="188" spans="1:12" x14ac:dyDescent="0.25">
      <c r="A188" s="704" t="str">
        <f t="shared" si="79"/>
        <v>Informal Settlements</v>
      </c>
      <c r="B188" s="629"/>
      <c r="C188" s="743"/>
      <c r="D188" s="743"/>
      <c r="E188" s="743"/>
      <c r="F188" s="743"/>
      <c r="G188" s="743"/>
      <c r="H188" s="743">
        <f t="shared" si="81"/>
        <v>0</v>
      </c>
      <c r="I188" s="411">
        <f>G188-H188</f>
        <v>0</v>
      </c>
      <c r="J188" s="411" t="str">
        <f>IF(I188=0,"",I188/H188)</f>
        <v/>
      </c>
      <c r="K188" s="745">
        <f>D188</f>
        <v>0</v>
      </c>
      <c r="L188" s="101"/>
    </row>
    <row r="189" spans="1:12" x14ac:dyDescent="0.25">
      <c r="A189" s="616" t="str">
        <f t="shared" si="79"/>
        <v>Health</v>
      </c>
      <c r="B189" s="629"/>
      <c r="C189" s="620">
        <f t="shared" ref="C189:K189" si="82">SUM(C190:C196)</f>
        <v>3558377.8899999997</v>
      </c>
      <c r="D189" s="620">
        <f t="shared" si="82"/>
        <v>6640560</v>
      </c>
      <c r="E189" s="620">
        <f t="shared" si="82"/>
        <v>6640560</v>
      </c>
      <c r="F189" s="620">
        <f t="shared" si="82"/>
        <v>337094.88999999996</v>
      </c>
      <c r="G189" s="620">
        <f t="shared" si="82"/>
        <v>1758751.7000000007</v>
      </c>
      <c r="H189" s="620">
        <f t="shared" si="82"/>
        <v>2766900</v>
      </c>
      <c r="I189" s="620">
        <f t="shared" si="54"/>
        <v>-1008148.2999999993</v>
      </c>
      <c r="J189" s="620">
        <f t="shared" si="55"/>
        <v>-0.36436022263182599</v>
      </c>
      <c r="K189" s="623">
        <f t="shared" si="82"/>
        <v>6640560</v>
      </c>
      <c r="L189" s="101"/>
    </row>
    <row r="190" spans="1:12" x14ac:dyDescent="0.25">
      <c r="A190" s="704" t="str">
        <f t="shared" ref="A190:A208" si="83">A67</f>
        <v>Ambulance</v>
      </c>
      <c r="B190" s="629"/>
      <c r="C190" s="743"/>
      <c r="D190" s="743"/>
      <c r="E190" s="743">
        <v>0</v>
      </c>
      <c r="F190" s="743"/>
      <c r="G190" s="743"/>
      <c r="H190" s="743">
        <f t="shared" ref="H190:H196" si="84">E190/12*5</f>
        <v>0</v>
      </c>
      <c r="I190" s="411">
        <f t="shared" si="54"/>
        <v>0</v>
      </c>
      <c r="J190" s="411" t="str">
        <f t="shared" si="55"/>
        <v/>
      </c>
      <c r="K190" s="745">
        <f>D190</f>
        <v>0</v>
      </c>
      <c r="L190" s="101"/>
    </row>
    <row r="191" spans="1:12" x14ac:dyDescent="0.25">
      <c r="A191" s="704" t="str">
        <f t="shared" si="83"/>
        <v>Health Services</v>
      </c>
      <c r="B191" s="629"/>
      <c r="C191" s="743">
        <v>3558377.8899999997</v>
      </c>
      <c r="D191" s="743">
        <v>6640560</v>
      </c>
      <c r="E191" s="743">
        <v>6640560</v>
      </c>
      <c r="F191" s="743">
        <v>337094.88999999996</v>
      </c>
      <c r="G191" s="743">
        <v>1758751.7000000007</v>
      </c>
      <c r="H191" s="743">
        <f t="shared" si="84"/>
        <v>2766900</v>
      </c>
      <c r="I191" s="411">
        <f t="shared" si="54"/>
        <v>-1008148.2999999993</v>
      </c>
      <c r="J191" s="411">
        <f t="shared" si="55"/>
        <v>-0.36436022263182599</v>
      </c>
      <c r="K191" s="745">
        <f>D191</f>
        <v>6640560</v>
      </c>
      <c r="L191" s="101"/>
    </row>
    <row r="192" spans="1:12" x14ac:dyDescent="0.25">
      <c r="A192" s="704" t="str">
        <f t="shared" si="83"/>
        <v>Laboratory Services</v>
      </c>
      <c r="B192" s="629"/>
      <c r="C192" s="743"/>
      <c r="D192" s="743"/>
      <c r="E192" s="743">
        <v>0</v>
      </c>
      <c r="F192" s="743"/>
      <c r="G192" s="743"/>
      <c r="H192" s="743">
        <f t="shared" si="84"/>
        <v>0</v>
      </c>
      <c r="I192" s="411">
        <f t="shared" si="54"/>
        <v>0</v>
      </c>
      <c r="J192" s="411" t="str">
        <f t="shared" si="55"/>
        <v/>
      </c>
      <c r="K192" s="745">
        <f t="shared" ref="K192:K196" si="85">D192</f>
        <v>0</v>
      </c>
      <c r="L192" s="101"/>
    </row>
    <row r="193" spans="1:12" x14ac:dyDescent="0.25">
      <c r="A193" s="704" t="str">
        <f t="shared" si="83"/>
        <v>Food Control</v>
      </c>
      <c r="B193" s="629"/>
      <c r="C193" s="743"/>
      <c r="D193" s="743"/>
      <c r="E193" s="743">
        <v>0</v>
      </c>
      <c r="F193" s="743"/>
      <c r="G193" s="743"/>
      <c r="H193" s="743">
        <f t="shared" si="84"/>
        <v>0</v>
      </c>
      <c r="I193" s="411">
        <f>G193-H193</f>
        <v>0</v>
      </c>
      <c r="J193" s="411" t="str">
        <f>IF(I193=0,"",I193/H193)</f>
        <v/>
      </c>
      <c r="K193" s="745">
        <f t="shared" si="85"/>
        <v>0</v>
      </c>
      <c r="L193" s="101"/>
    </row>
    <row r="194" spans="1:12" ht="24" customHeight="1" x14ac:dyDescent="0.25">
      <c r="A194" s="704" t="str">
        <f t="shared" si="83"/>
        <v>Health Surveillance and Prevention of Communicable Diseases including immunizations</v>
      </c>
      <c r="B194" s="629"/>
      <c r="C194" s="743"/>
      <c r="D194" s="743"/>
      <c r="E194" s="743">
        <v>0</v>
      </c>
      <c r="F194" s="743"/>
      <c r="G194" s="743"/>
      <c r="H194" s="743">
        <f t="shared" si="84"/>
        <v>0</v>
      </c>
      <c r="I194" s="411">
        <f>G194-H194</f>
        <v>0</v>
      </c>
      <c r="J194" s="411" t="str">
        <f>IF(I194=0,"",I194/H194)</f>
        <v/>
      </c>
      <c r="K194" s="745">
        <f t="shared" si="85"/>
        <v>0</v>
      </c>
      <c r="L194" s="101"/>
    </row>
    <row r="195" spans="1:12" x14ac:dyDescent="0.25">
      <c r="A195" s="704" t="str">
        <f t="shared" si="83"/>
        <v>Vector Control</v>
      </c>
      <c r="B195" s="629"/>
      <c r="C195" s="743"/>
      <c r="D195" s="743"/>
      <c r="E195" s="743">
        <v>0</v>
      </c>
      <c r="F195" s="743"/>
      <c r="G195" s="743"/>
      <c r="H195" s="743">
        <f t="shared" si="84"/>
        <v>0</v>
      </c>
      <c r="I195" s="411">
        <f t="shared" si="54"/>
        <v>0</v>
      </c>
      <c r="J195" s="411" t="str">
        <f t="shared" si="55"/>
        <v/>
      </c>
      <c r="K195" s="745">
        <f t="shared" si="85"/>
        <v>0</v>
      </c>
      <c r="L195" s="101"/>
    </row>
    <row r="196" spans="1:12" x14ac:dyDescent="0.25">
      <c r="A196" s="704" t="str">
        <f t="shared" si="83"/>
        <v>Chemical Safety</v>
      </c>
      <c r="B196" s="629"/>
      <c r="C196" s="743"/>
      <c r="D196" s="743"/>
      <c r="E196" s="743">
        <v>0</v>
      </c>
      <c r="F196" s="743"/>
      <c r="G196" s="743"/>
      <c r="H196" s="743">
        <f t="shared" si="84"/>
        <v>0</v>
      </c>
      <c r="I196" s="411">
        <f t="shared" si="54"/>
        <v>0</v>
      </c>
      <c r="J196" s="411" t="str">
        <f t="shared" si="55"/>
        <v/>
      </c>
      <c r="K196" s="745">
        <f t="shared" si="85"/>
        <v>0</v>
      </c>
      <c r="L196" s="101"/>
    </row>
    <row r="197" spans="1:12" x14ac:dyDescent="0.25">
      <c r="A197" s="417" t="str">
        <f t="shared" si="83"/>
        <v>Economic and environmental services</v>
      </c>
      <c r="B197" s="629"/>
      <c r="C197" s="614">
        <f t="shared" ref="C197:K197" si="86">C198+C209+C216</f>
        <v>339575607.47000003</v>
      </c>
      <c r="D197" s="614">
        <f t="shared" si="86"/>
        <v>481477748</v>
      </c>
      <c r="E197" s="614">
        <f t="shared" si="86"/>
        <v>479788944</v>
      </c>
      <c r="F197" s="614">
        <f t="shared" si="86"/>
        <v>28119056.550000001</v>
      </c>
      <c r="G197" s="614">
        <f t="shared" si="86"/>
        <v>125728729.72</v>
      </c>
      <c r="H197" s="614">
        <f t="shared" si="86"/>
        <v>199912060</v>
      </c>
      <c r="I197" s="614">
        <f t="shared" si="54"/>
        <v>-74183330.280000001</v>
      </c>
      <c r="J197" s="614">
        <f t="shared" si="55"/>
        <v>-0.37107981519474115</v>
      </c>
      <c r="K197" s="615">
        <f t="shared" si="86"/>
        <v>481477748</v>
      </c>
      <c r="L197" s="101"/>
    </row>
    <row r="198" spans="1:12" x14ac:dyDescent="0.25">
      <c r="A198" s="616" t="str">
        <f t="shared" si="83"/>
        <v>Planning and development</v>
      </c>
      <c r="B198" s="629"/>
      <c r="C198" s="620">
        <f t="shared" ref="C198:K198" si="87">SUM(C199:C208)</f>
        <v>109149443.87</v>
      </c>
      <c r="D198" s="620">
        <f t="shared" si="87"/>
        <v>130112276</v>
      </c>
      <c r="E198" s="620">
        <f t="shared" si="87"/>
        <v>128173272</v>
      </c>
      <c r="F198" s="620">
        <f t="shared" si="87"/>
        <v>8618884.6000000015</v>
      </c>
      <c r="G198" s="620">
        <f t="shared" si="87"/>
        <v>40224924.629999995</v>
      </c>
      <c r="H198" s="620">
        <f t="shared" si="87"/>
        <v>53405530</v>
      </c>
      <c r="I198" s="620">
        <f t="shared" si="54"/>
        <v>-13180605.370000005</v>
      </c>
      <c r="J198" s="620">
        <f t="shared" si="55"/>
        <v>-0.24680225755647411</v>
      </c>
      <c r="K198" s="623">
        <f t="shared" si="87"/>
        <v>130112276</v>
      </c>
      <c r="L198" s="101"/>
    </row>
    <row r="199" spans="1:12" x14ac:dyDescent="0.25">
      <c r="A199" s="704" t="str">
        <f t="shared" si="83"/>
        <v>Billboards</v>
      </c>
      <c r="B199" s="629"/>
      <c r="C199" s="743">
        <v>0</v>
      </c>
      <c r="D199" s="743">
        <v>0</v>
      </c>
      <c r="E199" s="743">
        <v>0</v>
      </c>
      <c r="F199" s="743">
        <v>0</v>
      </c>
      <c r="G199" s="743">
        <v>0</v>
      </c>
      <c r="H199" s="743">
        <f t="shared" ref="H199:H208" si="88">E199/12*5</f>
        <v>0</v>
      </c>
      <c r="I199" s="411">
        <f t="shared" si="54"/>
        <v>0</v>
      </c>
      <c r="J199" s="411" t="str">
        <f t="shared" si="55"/>
        <v/>
      </c>
      <c r="K199" s="745">
        <f>D199</f>
        <v>0</v>
      </c>
      <c r="L199" s="101"/>
    </row>
    <row r="200" spans="1:12" x14ac:dyDescent="0.25">
      <c r="A200" s="704" t="str">
        <f t="shared" si="83"/>
        <v>Corporate Wide Strategic Planning (IDPs, LEDs)</v>
      </c>
      <c r="B200" s="629"/>
      <c r="C200" s="743">
        <v>13105988.980000002</v>
      </c>
      <c r="D200" s="743">
        <v>21528708</v>
      </c>
      <c r="E200" s="743">
        <v>17089704</v>
      </c>
      <c r="F200" s="743">
        <v>440404.52999999997</v>
      </c>
      <c r="G200" s="743">
        <v>2418301.84</v>
      </c>
      <c r="H200" s="743">
        <f t="shared" si="88"/>
        <v>7120710</v>
      </c>
      <c r="I200" s="411">
        <f t="shared" si="54"/>
        <v>-4702408.16</v>
      </c>
      <c r="J200" s="411">
        <f t="shared" si="55"/>
        <v>-0.66038473129786213</v>
      </c>
      <c r="K200" s="745">
        <f t="shared" ref="K200:K208" si="89">D200</f>
        <v>21528708</v>
      </c>
      <c r="L200" s="101"/>
    </row>
    <row r="201" spans="1:12" x14ac:dyDescent="0.25">
      <c r="A201" s="704" t="str">
        <f t="shared" si="83"/>
        <v>Central City Improvement District</v>
      </c>
      <c r="B201" s="629"/>
      <c r="C201" s="743">
        <v>0</v>
      </c>
      <c r="D201" s="743">
        <v>0</v>
      </c>
      <c r="E201" s="743">
        <v>0</v>
      </c>
      <c r="F201" s="743">
        <v>0</v>
      </c>
      <c r="G201" s="743">
        <v>0</v>
      </c>
      <c r="H201" s="743">
        <f t="shared" si="88"/>
        <v>0</v>
      </c>
      <c r="I201" s="411">
        <f t="shared" si="54"/>
        <v>0</v>
      </c>
      <c r="J201" s="411" t="str">
        <f t="shared" si="55"/>
        <v/>
      </c>
      <c r="K201" s="745">
        <f t="shared" si="89"/>
        <v>0</v>
      </c>
      <c r="L201" s="101"/>
    </row>
    <row r="202" spans="1:12" x14ac:dyDescent="0.25">
      <c r="A202" s="704" t="str">
        <f t="shared" si="83"/>
        <v>Development Facilitation</v>
      </c>
      <c r="B202" s="629"/>
      <c r="C202" s="743">
        <v>0</v>
      </c>
      <c r="D202" s="743">
        <v>0</v>
      </c>
      <c r="E202" s="743">
        <v>0</v>
      </c>
      <c r="F202" s="743">
        <v>0</v>
      </c>
      <c r="G202" s="743">
        <v>0</v>
      </c>
      <c r="H202" s="743">
        <f t="shared" si="88"/>
        <v>0</v>
      </c>
      <c r="I202" s="411">
        <f>G202-H202</f>
        <v>0</v>
      </c>
      <c r="J202" s="411" t="str">
        <f>IF(I202=0,"",I202/H202)</f>
        <v/>
      </c>
      <c r="K202" s="745">
        <f t="shared" si="89"/>
        <v>0</v>
      </c>
      <c r="L202" s="101"/>
    </row>
    <row r="203" spans="1:12" x14ac:dyDescent="0.25">
      <c r="A203" s="704" t="str">
        <f t="shared" si="83"/>
        <v>Economic Development/Planning</v>
      </c>
      <c r="B203" s="629"/>
      <c r="C203" s="743">
        <v>19868321.709999993</v>
      </c>
      <c r="D203" s="743">
        <v>22262532</v>
      </c>
      <c r="E203" s="743">
        <v>24762532</v>
      </c>
      <c r="F203" s="743">
        <v>2041199.4700000002</v>
      </c>
      <c r="G203" s="743">
        <v>9491915.1600000001</v>
      </c>
      <c r="H203" s="743">
        <f t="shared" si="88"/>
        <v>10317721.666666666</v>
      </c>
      <c r="I203" s="411">
        <f>G203-H203</f>
        <v>-825806.5066666659</v>
      </c>
      <c r="J203" s="411">
        <f>IF(I203=0,"",I203/H203)</f>
        <v>-8.0037680153224974E-2</v>
      </c>
      <c r="K203" s="745">
        <f t="shared" si="89"/>
        <v>22262532</v>
      </c>
      <c r="L203" s="101"/>
    </row>
    <row r="204" spans="1:12" x14ac:dyDescent="0.25">
      <c r="A204" s="704" t="str">
        <f t="shared" si="83"/>
        <v>Regional Planning and Development</v>
      </c>
      <c r="B204" s="629"/>
      <c r="C204" s="743">
        <v>4519685.91</v>
      </c>
      <c r="D204" s="743">
        <v>0</v>
      </c>
      <c r="E204" s="743">
        <v>0</v>
      </c>
      <c r="F204" s="743">
        <v>0</v>
      </c>
      <c r="G204" s="743">
        <v>0</v>
      </c>
      <c r="H204" s="743">
        <f t="shared" si="88"/>
        <v>0</v>
      </c>
      <c r="I204" s="411">
        <f>G204-H204</f>
        <v>0</v>
      </c>
      <c r="J204" s="411" t="str">
        <f>IF(I204=0,"",I204/H204)</f>
        <v/>
      </c>
      <c r="K204" s="745">
        <f t="shared" si="89"/>
        <v>0</v>
      </c>
      <c r="L204" s="101"/>
    </row>
    <row r="205" spans="1:12" ht="20.399999999999999" x14ac:dyDescent="0.25">
      <c r="A205" s="704" t="str">
        <f t="shared" si="83"/>
        <v>Town Planning, Building Regulations and Enforcement, and City Engineer</v>
      </c>
      <c r="B205" s="629"/>
      <c r="C205" s="743">
        <v>29074852.710000005</v>
      </c>
      <c r="D205" s="743">
        <v>37434840</v>
      </c>
      <c r="E205" s="743">
        <v>37434840</v>
      </c>
      <c r="F205" s="743">
        <v>2089445.7500000002</v>
      </c>
      <c r="G205" s="743">
        <v>11004005.189999999</v>
      </c>
      <c r="H205" s="743">
        <f>E205/12*5</f>
        <v>15597850</v>
      </c>
      <c r="I205" s="411">
        <f>G205-H205</f>
        <v>-4593844.8100000005</v>
      </c>
      <c r="J205" s="411">
        <f>IF(I205=0,"",I205/H205)</f>
        <v>-0.2945178220075203</v>
      </c>
      <c r="K205" s="745">
        <f t="shared" si="89"/>
        <v>37434840</v>
      </c>
      <c r="L205" s="101"/>
    </row>
    <row r="206" spans="1:12" x14ac:dyDescent="0.25">
      <c r="A206" s="704" t="str">
        <f t="shared" si="83"/>
        <v>Project Management Unit</v>
      </c>
      <c r="B206" s="629"/>
      <c r="C206" s="743">
        <v>42580594.560000002</v>
      </c>
      <c r="D206" s="743">
        <v>48886196</v>
      </c>
      <c r="E206" s="743">
        <v>48886196</v>
      </c>
      <c r="F206" s="743">
        <v>4047834.850000001</v>
      </c>
      <c r="G206" s="743">
        <v>17310702.439999998</v>
      </c>
      <c r="H206" s="743">
        <f t="shared" si="88"/>
        <v>20369248.333333332</v>
      </c>
      <c r="I206" s="411">
        <f>G206-H206</f>
        <v>-3058545.8933333345</v>
      </c>
      <c r="J206" s="411">
        <f>IF(I206=0,"",I206/H206)</f>
        <v>-0.15015506921422161</v>
      </c>
      <c r="K206" s="745">
        <f t="shared" si="89"/>
        <v>48886196</v>
      </c>
      <c r="L206" s="101"/>
    </row>
    <row r="207" spans="1:12" x14ac:dyDescent="0.25">
      <c r="A207" s="704" t="str">
        <f t="shared" si="83"/>
        <v>Provincial Planning</v>
      </c>
      <c r="B207" s="629"/>
      <c r="C207" s="743">
        <v>0</v>
      </c>
      <c r="D207" s="743"/>
      <c r="E207" s="743">
        <v>0</v>
      </c>
      <c r="F207" s="743"/>
      <c r="G207" s="743"/>
      <c r="H207" s="743">
        <f t="shared" si="88"/>
        <v>0</v>
      </c>
      <c r="I207" s="411">
        <f t="shared" si="54"/>
        <v>0</v>
      </c>
      <c r="J207" s="411" t="str">
        <f t="shared" si="55"/>
        <v/>
      </c>
      <c r="K207" s="745">
        <f t="shared" si="89"/>
        <v>0</v>
      </c>
      <c r="L207" s="101"/>
    </row>
    <row r="208" spans="1:12" x14ac:dyDescent="0.25">
      <c r="A208" s="704" t="str">
        <f t="shared" si="83"/>
        <v>Support to Local Municipalities</v>
      </c>
      <c r="B208" s="629"/>
      <c r="C208" s="743">
        <v>0</v>
      </c>
      <c r="D208" s="743">
        <v>0</v>
      </c>
      <c r="E208" s="743">
        <v>0</v>
      </c>
      <c r="F208" s="743"/>
      <c r="G208" s="743"/>
      <c r="H208" s="743">
        <f t="shared" si="88"/>
        <v>0</v>
      </c>
      <c r="I208" s="411">
        <f t="shared" si="54"/>
        <v>0</v>
      </c>
      <c r="J208" s="411" t="str">
        <f t="shared" si="55"/>
        <v/>
      </c>
      <c r="K208" s="745">
        <f t="shared" si="89"/>
        <v>0</v>
      </c>
      <c r="L208" s="101"/>
    </row>
    <row r="209" spans="1:12" x14ac:dyDescent="0.25">
      <c r="A209" s="616" t="str">
        <f t="shared" ref="A209:A248" si="90">A86</f>
        <v>Road transport</v>
      </c>
      <c r="B209" s="629"/>
      <c r="C209" s="620">
        <f t="shared" ref="C209:K209" si="91">SUM(C210:C215)</f>
        <v>230055195.11000001</v>
      </c>
      <c r="D209" s="620">
        <f t="shared" si="91"/>
        <v>331561800</v>
      </c>
      <c r="E209" s="620">
        <f t="shared" si="91"/>
        <v>331562000</v>
      </c>
      <c r="F209" s="620">
        <f t="shared" si="91"/>
        <v>18787172.5</v>
      </c>
      <c r="G209" s="620">
        <f t="shared" si="91"/>
        <v>82904723.570000008</v>
      </c>
      <c r="H209" s="620">
        <f>SUM(H210:H215)</f>
        <v>138150833.33333334</v>
      </c>
      <c r="I209" s="620">
        <f t="shared" si="54"/>
        <v>-55246109.763333336</v>
      </c>
      <c r="J209" s="620">
        <f t="shared" si="55"/>
        <v>-0.39989704318347696</v>
      </c>
      <c r="K209" s="623">
        <f t="shared" si="91"/>
        <v>331561800</v>
      </c>
      <c r="L209" s="101"/>
    </row>
    <row r="210" spans="1:12" x14ac:dyDescent="0.25">
      <c r="A210" s="704" t="str">
        <f t="shared" si="90"/>
        <v>Police Forces, Traffic and Street Parking Control</v>
      </c>
      <c r="B210" s="629"/>
      <c r="C210" s="743"/>
      <c r="D210" s="743"/>
      <c r="E210" s="743"/>
      <c r="F210" s="743"/>
      <c r="G210" s="743"/>
      <c r="H210" s="743">
        <f t="shared" ref="H210:H215" si="92">E210/12*5</f>
        <v>0</v>
      </c>
      <c r="I210" s="411">
        <f t="shared" si="54"/>
        <v>0</v>
      </c>
      <c r="J210" s="411" t="str">
        <f t="shared" si="55"/>
        <v/>
      </c>
      <c r="K210" s="745">
        <f t="shared" ref="K210:K215" si="93">D210</f>
        <v>0</v>
      </c>
      <c r="L210" s="101"/>
    </row>
    <row r="211" spans="1:12" x14ac:dyDescent="0.25">
      <c r="A211" s="704" t="str">
        <f t="shared" si="90"/>
        <v>Pounds</v>
      </c>
      <c r="B211" s="629"/>
      <c r="C211" s="743"/>
      <c r="D211" s="743"/>
      <c r="E211" s="743">
        <v>0</v>
      </c>
      <c r="F211" s="743"/>
      <c r="G211" s="743"/>
      <c r="H211" s="743">
        <f t="shared" si="92"/>
        <v>0</v>
      </c>
      <c r="I211" s="411">
        <f t="shared" si="54"/>
        <v>0</v>
      </c>
      <c r="J211" s="411" t="str">
        <f t="shared" si="55"/>
        <v/>
      </c>
      <c r="K211" s="745">
        <f t="shared" si="93"/>
        <v>0</v>
      </c>
      <c r="L211" s="101"/>
    </row>
    <row r="212" spans="1:12" x14ac:dyDescent="0.25">
      <c r="A212" s="704" t="str">
        <f t="shared" si="90"/>
        <v>Public Transport</v>
      </c>
      <c r="B212" s="629"/>
      <c r="C212" s="743">
        <v>59236205.359999999</v>
      </c>
      <c r="D212" s="743">
        <v>30868920</v>
      </c>
      <c r="E212" s="743">
        <v>30868920</v>
      </c>
      <c r="F212" s="743">
        <v>3547410.3800000004</v>
      </c>
      <c r="G212" s="743">
        <v>13731888.689999999</v>
      </c>
      <c r="H212" s="743">
        <f t="shared" si="92"/>
        <v>12862050</v>
      </c>
      <c r="I212" s="411">
        <f t="shared" si="54"/>
        <v>869838.68999999948</v>
      </c>
      <c r="J212" s="411">
        <f t="shared" si="55"/>
        <v>6.7628308862117584E-2</v>
      </c>
      <c r="K212" s="745">
        <f>D212</f>
        <v>30868920</v>
      </c>
      <c r="L212" s="101"/>
    </row>
    <row r="213" spans="1:12" x14ac:dyDescent="0.25">
      <c r="A213" s="704" t="str">
        <f t="shared" si="90"/>
        <v>Road and Traffic Regulation</v>
      </c>
      <c r="B213" s="629"/>
      <c r="C213" s="743">
        <v>75539076.37999998</v>
      </c>
      <c r="D213" s="743">
        <v>195980796</v>
      </c>
      <c r="E213" s="743">
        <v>195980896</v>
      </c>
      <c r="F213" s="743">
        <v>6811062.3899999997</v>
      </c>
      <c r="G213" s="743">
        <v>26358165.84</v>
      </c>
      <c r="H213" s="743">
        <f t="shared" si="92"/>
        <v>81658706.666666672</v>
      </c>
      <c r="I213" s="411">
        <f>G213-H213</f>
        <v>-55300540.826666668</v>
      </c>
      <c r="J213" s="411">
        <f>IF(I213=0,"",I213/H213)</f>
        <v>-0.67721548728912839</v>
      </c>
      <c r="K213" s="745">
        <f t="shared" si="93"/>
        <v>195980796</v>
      </c>
      <c r="L213" s="101"/>
    </row>
    <row r="214" spans="1:12" x14ac:dyDescent="0.25">
      <c r="A214" s="704" t="str">
        <f t="shared" si="90"/>
        <v>Roads</v>
      </c>
      <c r="B214" s="629"/>
      <c r="C214" s="743">
        <v>0</v>
      </c>
      <c r="D214" s="743">
        <v>0</v>
      </c>
      <c r="E214" s="743">
        <v>0</v>
      </c>
      <c r="F214" s="743">
        <v>0</v>
      </c>
      <c r="G214" s="743">
        <v>0</v>
      </c>
      <c r="H214" s="743">
        <f t="shared" si="92"/>
        <v>0</v>
      </c>
      <c r="I214" s="411">
        <f t="shared" si="54"/>
        <v>0</v>
      </c>
      <c r="J214" s="411" t="str">
        <f t="shared" si="55"/>
        <v/>
      </c>
      <c r="K214" s="745">
        <f>E214</f>
        <v>0</v>
      </c>
      <c r="L214" s="101"/>
    </row>
    <row r="215" spans="1:12" x14ac:dyDescent="0.25">
      <c r="A215" s="704" t="str">
        <f t="shared" si="90"/>
        <v>Taxi Ranks</v>
      </c>
      <c r="B215" s="629"/>
      <c r="C215" s="743">
        <v>95279913.37000002</v>
      </c>
      <c r="D215" s="743">
        <v>104712084</v>
      </c>
      <c r="E215" s="743">
        <v>104712184</v>
      </c>
      <c r="F215" s="743">
        <v>8428699.7300000004</v>
      </c>
      <c r="G215" s="743">
        <v>42814669.040000007</v>
      </c>
      <c r="H215" s="743">
        <f t="shared" si="92"/>
        <v>43630076.666666672</v>
      </c>
      <c r="I215" s="411">
        <f t="shared" si="54"/>
        <v>-815407.62666666508</v>
      </c>
      <c r="J215" s="411">
        <f t="shared" si="55"/>
        <v>-1.8689117438329773E-2</v>
      </c>
      <c r="K215" s="745">
        <f t="shared" si="93"/>
        <v>104712084</v>
      </c>
      <c r="L215" s="101"/>
    </row>
    <row r="216" spans="1:12" x14ac:dyDescent="0.25">
      <c r="A216" s="616" t="str">
        <f t="shared" si="90"/>
        <v>Environmental protection</v>
      </c>
      <c r="B216" s="629"/>
      <c r="C216" s="620">
        <f t="shared" ref="C216:K216" si="94">SUM(C217:C222)</f>
        <v>370968.49</v>
      </c>
      <c r="D216" s="620">
        <f t="shared" si="94"/>
        <v>19803672</v>
      </c>
      <c r="E216" s="620">
        <f t="shared" si="94"/>
        <v>20053672</v>
      </c>
      <c r="F216" s="620">
        <f t="shared" si="94"/>
        <v>712999.44999999972</v>
      </c>
      <c r="G216" s="620">
        <f t="shared" si="94"/>
        <v>2599081.5200000005</v>
      </c>
      <c r="H216" s="620">
        <f t="shared" si="94"/>
        <v>8355696.666666666</v>
      </c>
      <c r="I216" s="620">
        <f t="shared" si="54"/>
        <v>-5756615.1466666656</v>
      </c>
      <c r="J216" s="620">
        <f t="shared" si="55"/>
        <v>-0.68894496489221513</v>
      </c>
      <c r="K216" s="623">
        <f t="shared" si="94"/>
        <v>19803672</v>
      </c>
      <c r="L216" s="101"/>
    </row>
    <row r="217" spans="1:12" x14ac:dyDescent="0.25">
      <c r="A217" s="704" t="str">
        <f t="shared" si="90"/>
        <v>Biodiversity and Landscape</v>
      </c>
      <c r="B217" s="629"/>
      <c r="C217" s="743">
        <v>370968.49</v>
      </c>
      <c r="D217" s="743">
        <v>19803672</v>
      </c>
      <c r="E217" s="743">
        <v>20053672</v>
      </c>
      <c r="F217" s="743">
        <v>712999.44999999972</v>
      </c>
      <c r="G217" s="743">
        <v>2599081.5200000005</v>
      </c>
      <c r="H217" s="743">
        <f t="shared" ref="H217:H222" si="95">E217/12*5</f>
        <v>8355696.666666666</v>
      </c>
      <c r="I217" s="411">
        <f t="shared" si="54"/>
        <v>-5756615.1466666656</v>
      </c>
      <c r="J217" s="411">
        <f t="shared" si="55"/>
        <v>-0.68894496489221513</v>
      </c>
      <c r="K217" s="745">
        <f t="shared" ref="K217:K222" si="96">D217</f>
        <v>19803672</v>
      </c>
      <c r="L217" s="101"/>
    </row>
    <row r="218" spans="1:12" x14ac:dyDescent="0.25">
      <c r="A218" s="704" t="str">
        <f t="shared" si="90"/>
        <v>Coastal Protection</v>
      </c>
      <c r="B218" s="629"/>
      <c r="C218" s="743"/>
      <c r="D218" s="743"/>
      <c r="E218" s="743">
        <v>0</v>
      </c>
      <c r="F218" s="743"/>
      <c r="G218" s="743"/>
      <c r="H218" s="743">
        <f t="shared" si="95"/>
        <v>0</v>
      </c>
      <c r="I218" s="411">
        <f t="shared" si="54"/>
        <v>0</v>
      </c>
      <c r="J218" s="411" t="str">
        <f t="shared" si="55"/>
        <v/>
      </c>
      <c r="K218" s="745">
        <f t="shared" si="96"/>
        <v>0</v>
      </c>
      <c r="L218" s="101"/>
    </row>
    <row r="219" spans="1:12" x14ac:dyDescent="0.25">
      <c r="A219" s="704" t="str">
        <f t="shared" si="90"/>
        <v>Indigenous Forests</v>
      </c>
      <c r="B219" s="629"/>
      <c r="C219" s="743"/>
      <c r="D219" s="743"/>
      <c r="E219" s="743">
        <v>0</v>
      </c>
      <c r="F219" s="743"/>
      <c r="G219" s="743"/>
      <c r="H219" s="743">
        <f t="shared" si="95"/>
        <v>0</v>
      </c>
      <c r="I219" s="411">
        <f t="shared" si="54"/>
        <v>0</v>
      </c>
      <c r="J219" s="411" t="str">
        <f t="shared" si="55"/>
        <v/>
      </c>
      <c r="K219" s="745">
        <f t="shared" si="96"/>
        <v>0</v>
      </c>
      <c r="L219" s="101"/>
    </row>
    <row r="220" spans="1:12" x14ac:dyDescent="0.25">
      <c r="A220" s="704" t="str">
        <f t="shared" si="90"/>
        <v>Nature Conservation</v>
      </c>
      <c r="B220" s="629"/>
      <c r="C220" s="743"/>
      <c r="D220" s="743"/>
      <c r="E220" s="743">
        <v>0</v>
      </c>
      <c r="F220" s="743"/>
      <c r="G220" s="743"/>
      <c r="H220" s="743">
        <f t="shared" si="95"/>
        <v>0</v>
      </c>
      <c r="I220" s="411">
        <f>G220-H220</f>
        <v>0</v>
      </c>
      <c r="J220" s="411" t="str">
        <f>IF(I220=0,"",I220/H220)</f>
        <v/>
      </c>
      <c r="K220" s="745">
        <f t="shared" si="96"/>
        <v>0</v>
      </c>
      <c r="L220" s="101"/>
    </row>
    <row r="221" spans="1:12" x14ac:dyDescent="0.25">
      <c r="A221" s="704" t="str">
        <f t="shared" si="90"/>
        <v>Pollution Control</v>
      </c>
      <c r="B221" s="629"/>
      <c r="C221" s="743"/>
      <c r="D221" s="743"/>
      <c r="E221" s="743">
        <v>0</v>
      </c>
      <c r="F221" s="743"/>
      <c r="G221" s="743"/>
      <c r="H221" s="743">
        <f t="shared" si="95"/>
        <v>0</v>
      </c>
      <c r="I221" s="411">
        <f>G221-H221</f>
        <v>0</v>
      </c>
      <c r="J221" s="411" t="str">
        <f>IF(I221=0,"",I221/H221)</f>
        <v/>
      </c>
      <c r="K221" s="745">
        <f>E221</f>
        <v>0</v>
      </c>
      <c r="L221" s="101"/>
    </row>
    <row r="222" spans="1:12" x14ac:dyDescent="0.25">
      <c r="A222" s="704" t="str">
        <f t="shared" si="90"/>
        <v>Soil Conservation</v>
      </c>
      <c r="B222" s="629"/>
      <c r="C222" s="743"/>
      <c r="D222" s="743"/>
      <c r="E222" s="743">
        <v>0</v>
      </c>
      <c r="F222" s="743"/>
      <c r="G222" s="743"/>
      <c r="H222" s="743">
        <f t="shared" si="95"/>
        <v>0</v>
      </c>
      <c r="I222" s="411">
        <f t="shared" si="54"/>
        <v>0</v>
      </c>
      <c r="J222" s="411" t="str">
        <f t="shared" si="55"/>
        <v/>
      </c>
      <c r="K222" s="745">
        <f t="shared" si="96"/>
        <v>0</v>
      </c>
      <c r="L222" s="101"/>
    </row>
    <row r="223" spans="1:12" x14ac:dyDescent="0.25">
      <c r="A223" s="417" t="str">
        <f t="shared" si="90"/>
        <v>Trading services</v>
      </c>
      <c r="B223" s="629"/>
      <c r="C223" s="614">
        <f>C224+C228+C232+C237</f>
        <v>1299005411.0699995</v>
      </c>
      <c r="D223" s="614">
        <f t="shared" ref="D223:I223" si="97">D224+D228+D232+D237</f>
        <v>1566754708</v>
      </c>
      <c r="E223" s="614">
        <f t="shared" si="97"/>
        <v>1566755708</v>
      </c>
      <c r="F223" s="614">
        <f t="shared" si="97"/>
        <v>116579116.51000002</v>
      </c>
      <c r="G223" s="614">
        <f t="shared" si="97"/>
        <v>624768597.63999999</v>
      </c>
      <c r="H223" s="614">
        <f>H224+H228+H232+H237</f>
        <v>652814878.33333325</v>
      </c>
      <c r="I223" s="614">
        <f t="shared" si="97"/>
        <v>-28046280.693333272</v>
      </c>
      <c r="J223" s="614">
        <f t="shared" si="55"/>
        <v>-4.2962073359811788E-2</v>
      </c>
      <c r="K223" s="615">
        <f>K224+K228+K232+K237</f>
        <v>1566754708</v>
      </c>
      <c r="L223" s="101"/>
    </row>
    <row r="224" spans="1:12" x14ac:dyDescent="0.25">
      <c r="A224" s="616" t="str">
        <f t="shared" si="90"/>
        <v>Energy sources</v>
      </c>
      <c r="B224" s="629"/>
      <c r="C224" s="620">
        <f t="shared" ref="C224:K224" si="98">SUM(C225:C227)</f>
        <v>798519515.72999966</v>
      </c>
      <c r="D224" s="620">
        <f t="shared" si="98"/>
        <v>961329108</v>
      </c>
      <c r="E224" s="620">
        <f t="shared" si="98"/>
        <v>961329708</v>
      </c>
      <c r="F224" s="620">
        <f t="shared" si="98"/>
        <v>70448380.400000021</v>
      </c>
      <c r="G224" s="620">
        <f t="shared" si="98"/>
        <v>412281503.55000007</v>
      </c>
      <c r="H224" s="620">
        <f t="shared" si="98"/>
        <v>400554045</v>
      </c>
      <c r="I224" s="620">
        <f t="shared" si="54"/>
        <v>11727458.550000072</v>
      </c>
      <c r="J224" s="620">
        <f t="shared" si="55"/>
        <v>2.9278092922517041E-2</v>
      </c>
      <c r="K224" s="623">
        <f t="shared" si="98"/>
        <v>961329108</v>
      </c>
      <c r="L224" s="101"/>
    </row>
    <row r="225" spans="1:12" x14ac:dyDescent="0.25">
      <c r="A225" s="704" t="str">
        <f t="shared" si="90"/>
        <v xml:space="preserve">Electricity </v>
      </c>
      <c r="B225" s="629"/>
      <c r="C225" s="743">
        <v>797672125.25999963</v>
      </c>
      <c r="D225" s="743">
        <v>961329108</v>
      </c>
      <c r="E225" s="743">
        <v>961329708</v>
      </c>
      <c r="F225" s="743">
        <v>70448380.400000021</v>
      </c>
      <c r="G225" s="743">
        <v>412281503.55000007</v>
      </c>
      <c r="H225" s="743">
        <f>E225/12*5</f>
        <v>400554045</v>
      </c>
      <c r="I225" s="411">
        <f t="shared" si="54"/>
        <v>11727458.550000072</v>
      </c>
      <c r="J225" s="411">
        <f t="shared" si="55"/>
        <v>2.9278092922517041E-2</v>
      </c>
      <c r="K225" s="745">
        <f>D225</f>
        <v>961329108</v>
      </c>
      <c r="L225" s="101"/>
    </row>
    <row r="226" spans="1:12" x14ac:dyDescent="0.25">
      <c r="A226" s="704" t="str">
        <f t="shared" si="90"/>
        <v>Street Lighting and Signal Systems</v>
      </c>
      <c r="B226" s="629"/>
      <c r="C226" s="743">
        <v>847390.47</v>
      </c>
      <c r="D226" s="743">
        <v>0</v>
      </c>
      <c r="E226" s="743">
        <v>0</v>
      </c>
      <c r="F226" s="743">
        <v>0</v>
      </c>
      <c r="G226" s="743">
        <v>0</v>
      </c>
      <c r="H226" s="743">
        <f t="shared" ref="H226:H227" si="99">E226/12*5</f>
        <v>0</v>
      </c>
      <c r="I226" s="411">
        <f>G226-H226</f>
        <v>0</v>
      </c>
      <c r="J226" s="411" t="str">
        <f>IF(I226=0,"",I226/H226)</f>
        <v/>
      </c>
      <c r="K226" s="745">
        <f>E226</f>
        <v>0</v>
      </c>
      <c r="L226" s="101"/>
    </row>
    <row r="227" spans="1:12" x14ac:dyDescent="0.25">
      <c r="A227" s="704" t="str">
        <f t="shared" si="90"/>
        <v>Nonelectric Energy</v>
      </c>
      <c r="B227" s="629"/>
      <c r="C227" s="743"/>
      <c r="D227" s="743"/>
      <c r="E227" s="743">
        <v>0</v>
      </c>
      <c r="F227" s="743"/>
      <c r="G227" s="743"/>
      <c r="H227" s="743">
        <f t="shared" si="99"/>
        <v>0</v>
      </c>
      <c r="I227" s="411">
        <f t="shared" si="54"/>
        <v>0</v>
      </c>
      <c r="J227" s="411" t="str">
        <f t="shared" si="55"/>
        <v/>
      </c>
      <c r="K227" s="745">
        <f>D227</f>
        <v>0</v>
      </c>
      <c r="L227" s="101"/>
    </row>
    <row r="228" spans="1:12" x14ac:dyDescent="0.25">
      <c r="A228" s="616" t="str">
        <f t="shared" si="90"/>
        <v>Water management</v>
      </c>
      <c r="B228" s="629"/>
      <c r="C228" s="620">
        <f t="shared" ref="C228:K228" si="100">SUM(C229:C231)</f>
        <v>269795799.24000001</v>
      </c>
      <c r="D228" s="620">
        <f t="shared" si="100"/>
        <v>398912628</v>
      </c>
      <c r="E228" s="620">
        <f t="shared" si="100"/>
        <v>398912728</v>
      </c>
      <c r="F228" s="620">
        <f t="shared" si="100"/>
        <v>28777246.400000002</v>
      </c>
      <c r="G228" s="620">
        <f t="shared" si="100"/>
        <v>143513662.36999997</v>
      </c>
      <c r="H228" s="620">
        <f t="shared" si="100"/>
        <v>166213636.66666666</v>
      </c>
      <c r="I228" s="620">
        <f t="shared" si="54"/>
        <v>-22699974.296666682</v>
      </c>
      <c r="J228" s="620">
        <f t="shared" si="55"/>
        <v>-0.13657107053250012</v>
      </c>
      <c r="K228" s="623">
        <f t="shared" si="100"/>
        <v>398912628</v>
      </c>
      <c r="L228" s="101"/>
    </row>
    <row r="229" spans="1:12" x14ac:dyDescent="0.25">
      <c r="A229" s="704" t="str">
        <f t="shared" si="90"/>
        <v>Water Treatment</v>
      </c>
      <c r="B229" s="629"/>
      <c r="C229" s="743">
        <v>35154092.359999999</v>
      </c>
      <c r="D229" s="743">
        <v>13669896</v>
      </c>
      <c r="E229" s="743">
        <v>13669996</v>
      </c>
      <c r="F229" s="743">
        <v>2606938.4799999991</v>
      </c>
      <c r="G229" s="743">
        <v>11618744.250000002</v>
      </c>
      <c r="H229" s="743">
        <f t="shared" ref="H229:H231" si="101">E229/12*5</f>
        <v>5695831.666666666</v>
      </c>
      <c r="I229" s="411">
        <f t="shared" si="54"/>
        <v>5922912.5833333358</v>
      </c>
      <c r="J229" s="411">
        <f t="shared" si="55"/>
        <v>1.0398679121778827</v>
      </c>
      <c r="K229" s="745">
        <f>D229</f>
        <v>13669896</v>
      </c>
      <c r="L229" s="101"/>
    </row>
    <row r="230" spans="1:12" x14ac:dyDescent="0.25">
      <c r="A230" s="704" t="str">
        <f t="shared" si="90"/>
        <v>Water Distribution</v>
      </c>
      <c r="B230" s="629"/>
      <c r="C230" s="743">
        <v>221685214.59</v>
      </c>
      <c r="D230" s="743">
        <v>385242732</v>
      </c>
      <c r="E230" s="743">
        <v>385242732</v>
      </c>
      <c r="F230" s="743">
        <v>26170307.920000002</v>
      </c>
      <c r="G230" s="743">
        <v>131894918.11999997</v>
      </c>
      <c r="H230" s="743">
        <f t="shared" si="101"/>
        <v>160517805</v>
      </c>
      <c r="I230" s="411">
        <f>G230-H230</f>
        <v>-28622886.880000025</v>
      </c>
      <c r="J230" s="411">
        <f>IF(I230=0,"",I230/H230)</f>
        <v>-0.17831596239432768</v>
      </c>
      <c r="K230" s="745">
        <f>D230</f>
        <v>385242732</v>
      </c>
      <c r="L230" s="101"/>
    </row>
    <row r="231" spans="1:12" x14ac:dyDescent="0.25">
      <c r="A231" s="704" t="str">
        <f t="shared" si="90"/>
        <v>Water Storage</v>
      </c>
      <c r="B231" s="629"/>
      <c r="C231" s="743">
        <v>12956492.290000001</v>
      </c>
      <c r="D231" s="743">
        <v>0</v>
      </c>
      <c r="E231" s="743">
        <v>0</v>
      </c>
      <c r="F231" s="743">
        <v>0</v>
      </c>
      <c r="G231" s="743">
        <v>0</v>
      </c>
      <c r="H231" s="743">
        <f t="shared" si="101"/>
        <v>0</v>
      </c>
      <c r="I231" s="411">
        <f t="shared" si="54"/>
        <v>0</v>
      </c>
      <c r="J231" s="411" t="str">
        <f t="shared" si="55"/>
        <v/>
      </c>
      <c r="K231" s="745">
        <f>E231</f>
        <v>0</v>
      </c>
      <c r="L231" s="101"/>
    </row>
    <row r="232" spans="1:12" x14ac:dyDescent="0.25">
      <c r="A232" s="616" t="str">
        <f t="shared" si="90"/>
        <v>Waste water management</v>
      </c>
      <c r="B232" s="629"/>
      <c r="C232" s="620">
        <f t="shared" ref="C232:K232" si="102">SUM(C233:C236)</f>
        <v>94000072.979999989</v>
      </c>
      <c r="D232" s="620">
        <f t="shared" si="102"/>
        <v>77149276</v>
      </c>
      <c r="E232" s="620">
        <f t="shared" si="102"/>
        <v>77149276</v>
      </c>
      <c r="F232" s="620">
        <f t="shared" si="102"/>
        <v>6495061.8800000008</v>
      </c>
      <c r="G232" s="620">
        <f t="shared" si="102"/>
        <v>24466146.809999991</v>
      </c>
      <c r="H232" s="620">
        <f t="shared" si="102"/>
        <v>32145531.666666664</v>
      </c>
      <c r="I232" s="620">
        <f t="shared" si="54"/>
        <v>-7679384.856666673</v>
      </c>
      <c r="J232" s="620">
        <f t="shared" si="55"/>
        <v>-0.23889431776391545</v>
      </c>
      <c r="K232" s="623">
        <f t="shared" si="102"/>
        <v>77149276</v>
      </c>
      <c r="L232" s="101"/>
    </row>
    <row r="233" spans="1:12" x14ac:dyDescent="0.25">
      <c r="A233" s="704" t="str">
        <f t="shared" si="90"/>
        <v>Public Toilets</v>
      </c>
      <c r="B233" s="629"/>
      <c r="C233" s="743">
        <v>0</v>
      </c>
      <c r="D233" s="743">
        <v>0</v>
      </c>
      <c r="E233" s="743">
        <v>0</v>
      </c>
      <c r="F233" s="743">
        <v>0</v>
      </c>
      <c r="G233" s="743">
        <v>0</v>
      </c>
      <c r="H233" s="743">
        <f t="shared" ref="H233:H236" si="103">E233/12*5</f>
        <v>0</v>
      </c>
      <c r="I233" s="411">
        <f t="shared" si="54"/>
        <v>0</v>
      </c>
      <c r="J233" s="411" t="str">
        <f t="shared" si="55"/>
        <v/>
      </c>
      <c r="K233" s="745">
        <f t="shared" ref="K233:K236" si="104">D233</f>
        <v>0</v>
      </c>
      <c r="L233" s="101"/>
    </row>
    <row r="234" spans="1:12" x14ac:dyDescent="0.25">
      <c r="A234" s="704" t="str">
        <f t="shared" si="90"/>
        <v>Sewerage</v>
      </c>
      <c r="B234" s="629"/>
      <c r="C234" s="743">
        <v>94000072.979999989</v>
      </c>
      <c r="D234" s="743">
        <v>77149276</v>
      </c>
      <c r="E234" s="743">
        <v>77149276</v>
      </c>
      <c r="F234" s="743">
        <v>6495061.8800000008</v>
      </c>
      <c r="G234" s="743">
        <v>24466146.809999991</v>
      </c>
      <c r="H234" s="743">
        <f t="shared" si="103"/>
        <v>32145531.666666664</v>
      </c>
      <c r="I234" s="411">
        <f t="shared" si="54"/>
        <v>-7679384.856666673</v>
      </c>
      <c r="J234" s="411">
        <f t="shared" si="55"/>
        <v>-0.23889431776391545</v>
      </c>
      <c r="K234" s="745">
        <f t="shared" si="104"/>
        <v>77149276</v>
      </c>
      <c r="L234" s="101"/>
    </row>
    <row r="235" spans="1:12" x14ac:dyDescent="0.25">
      <c r="A235" s="704" t="str">
        <f t="shared" si="90"/>
        <v>Storm Water Management</v>
      </c>
      <c r="B235" s="629"/>
      <c r="C235" s="743">
        <v>0</v>
      </c>
      <c r="D235" s="743">
        <v>0</v>
      </c>
      <c r="E235" s="743">
        <v>0</v>
      </c>
      <c r="F235" s="743">
        <v>0</v>
      </c>
      <c r="G235" s="743">
        <v>0</v>
      </c>
      <c r="H235" s="743">
        <f t="shared" si="103"/>
        <v>0</v>
      </c>
      <c r="I235" s="411">
        <f>G235-H235</f>
        <v>0</v>
      </c>
      <c r="J235" s="411" t="str">
        <f>IF(I235=0,"",I235/H235)</f>
        <v/>
      </c>
      <c r="K235" s="745">
        <f t="shared" si="104"/>
        <v>0</v>
      </c>
      <c r="L235" s="101"/>
    </row>
    <row r="236" spans="1:12" x14ac:dyDescent="0.25">
      <c r="A236" s="704" t="str">
        <f t="shared" si="90"/>
        <v>Waste Water Treatment</v>
      </c>
      <c r="B236" s="629"/>
      <c r="C236" s="743"/>
      <c r="D236" s="743"/>
      <c r="E236" s="743">
        <v>0</v>
      </c>
      <c r="F236" s="743"/>
      <c r="G236" s="743"/>
      <c r="H236" s="743">
        <f t="shared" si="103"/>
        <v>0</v>
      </c>
      <c r="I236" s="411">
        <f t="shared" si="54"/>
        <v>0</v>
      </c>
      <c r="J236" s="411" t="str">
        <f t="shared" si="55"/>
        <v/>
      </c>
      <c r="K236" s="745">
        <f t="shared" si="104"/>
        <v>0</v>
      </c>
      <c r="L236" s="101"/>
    </row>
    <row r="237" spans="1:12" x14ac:dyDescent="0.25">
      <c r="A237" s="616" t="str">
        <f t="shared" si="90"/>
        <v>Waste management</v>
      </c>
      <c r="B237" s="629"/>
      <c r="C237" s="620">
        <f t="shared" ref="C237:H237" si="105">SUM(C238:C241)</f>
        <v>136690023.11999997</v>
      </c>
      <c r="D237" s="620">
        <f t="shared" si="105"/>
        <v>129363696</v>
      </c>
      <c r="E237" s="620">
        <f t="shared" si="105"/>
        <v>129363996</v>
      </c>
      <c r="F237" s="620">
        <f t="shared" si="105"/>
        <v>10858427.829999998</v>
      </c>
      <c r="G237" s="620">
        <f t="shared" si="105"/>
        <v>44507284.910000011</v>
      </c>
      <c r="H237" s="620">
        <f t="shared" si="105"/>
        <v>53901665</v>
      </c>
      <c r="I237" s="620">
        <f t="shared" si="54"/>
        <v>-9394380.0899999887</v>
      </c>
      <c r="J237" s="620">
        <f t="shared" si="55"/>
        <v>-0.17428738221722814</v>
      </c>
      <c r="K237" s="620">
        <f>SUM(K238:K241)</f>
        <v>129363696</v>
      </c>
      <c r="L237" s="101"/>
    </row>
    <row r="238" spans="1:12" x14ac:dyDescent="0.25">
      <c r="A238" s="704" t="str">
        <f t="shared" si="90"/>
        <v>Recycling</v>
      </c>
      <c r="B238" s="629"/>
      <c r="C238" s="743">
        <v>0</v>
      </c>
      <c r="D238" s="743">
        <v>0</v>
      </c>
      <c r="E238" s="743">
        <v>0</v>
      </c>
      <c r="F238" s="743">
        <v>0</v>
      </c>
      <c r="G238" s="743">
        <v>0</v>
      </c>
      <c r="H238" s="743">
        <f t="shared" ref="H238:H241" si="106">E238/12*5</f>
        <v>0</v>
      </c>
      <c r="I238" s="411">
        <f>G238-H238</f>
        <v>0</v>
      </c>
      <c r="J238" s="411" t="str">
        <f>IF(I238=0,"",I238/H238)</f>
        <v/>
      </c>
      <c r="K238" s="745">
        <f t="shared" ref="K238:K241" si="107">D238</f>
        <v>0</v>
      </c>
      <c r="L238" s="101"/>
    </row>
    <row r="239" spans="1:12" x14ac:dyDescent="0.25">
      <c r="A239" s="704" t="str">
        <f t="shared" si="90"/>
        <v>Solid Waste Disposal (Landfill Sites)</v>
      </c>
      <c r="B239" s="629"/>
      <c r="C239" s="743">
        <v>0</v>
      </c>
      <c r="D239" s="743">
        <v>0</v>
      </c>
      <c r="E239" s="743">
        <v>0</v>
      </c>
      <c r="F239" s="743">
        <v>0</v>
      </c>
      <c r="G239" s="743">
        <v>0</v>
      </c>
      <c r="H239" s="743">
        <f t="shared" si="106"/>
        <v>0</v>
      </c>
      <c r="I239" s="411">
        <f>G239-H239</f>
        <v>0</v>
      </c>
      <c r="J239" s="411" t="str">
        <f>IF(I239=0,"",I239/H239)</f>
        <v/>
      </c>
      <c r="K239" s="745">
        <f t="shared" si="107"/>
        <v>0</v>
      </c>
      <c r="L239" s="101"/>
    </row>
    <row r="240" spans="1:12" x14ac:dyDescent="0.25">
      <c r="A240" s="704" t="str">
        <f t="shared" si="90"/>
        <v>Solid Waste Removal</v>
      </c>
      <c r="B240" s="629"/>
      <c r="C240" s="743">
        <v>121541830.21999998</v>
      </c>
      <c r="D240" s="743">
        <v>129363696</v>
      </c>
      <c r="E240" s="743">
        <v>129363996</v>
      </c>
      <c r="F240" s="743">
        <v>10858427.829999998</v>
      </c>
      <c r="G240" s="743">
        <v>44507284.910000011</v>
      </c>
      <c r="H240" s="743">
        <f t="shared" si="106"/>
        <v>53901665</v>
      </c>
      <c r="I240" s="411">
        <f>G240-H240</f>
        <v>-9394380.0899999887</v>
      </c>
      <c r="J240" s="411">
        <f>IF(I240=0,"",I240/H240)</f>
        <v>-0.17428738221722814</v>
      </c>
      <c r="K240" s="745">
        <f t="shared" si="107"/>
        <v>129363696</v>
      </c>
      <c r="L240" s="101"/>
    </row>
    <row r="241" spans="1:12" x14ac:dyDescent="0.25">
      <c r="A241" s="704" t="str">
        <f t="shared" si="90"/>
        <v>Street Cleaning</v>
      </c>
      <c r="B241" s="418"/>
      <c r="C241" s="743">
        <v>15148192.899999999</v>
      </c>
      <c r="D241" s="743">
        <v>0</v>
      </c>
      <c r="E241" s="743">
        <v>0</v>
      </c>
      <c r="F241" s="743">
        <v>0</v>
      </c>
      <c r="G241" s="743">
        <v>0</v>
      </c>
      <c r="H241" s="743">
        <f t="shared" si="106"/>
        <v>0</v>
      </c>
      <c r="I241" s="411">
        <f t="shared" si="54"/>
        <v>0</v>
      </c>
      <c r="J241" s="411" t="str">
        <f t="shared" si="55"/>
        <v/>
      </c>
      <c r="K241" s="745">
        <f t="shared" si="107"/>
        <v>0</v>
      </c>
      <c r="L241" s="101"/>
    </row>
    <row r="242" spans="1:12" x14ac:dyDescent="0.25">
      <c r="A242" s="417" t="str">
        <f t="shared" si="90"/>
        <v>Other</v>
      </c>
      <c r="B242" s="418"/>
      <c r="C242" s="620">
        <f t="shared" ref="C242:K242" si="108">SUM(C243:C248)</f>
        <v>0</v>
      </c>
      <c r="D242" s="620">
        <f t="shared" si="108"/>
        <v>0</v>
      </c>
      <c r="E242" s="620">
        <f t="shared" si="108"/>
        <v>0</v>
      </c>
      <c r="F242" s="620">
        <f t="shared" si="108"/>
        <v>0</v>
      </c>
      <c r="G242" s="620">
        <f t="shared" si="108"/>
        <v>0</v>
      </c>
      <c r="H242" s="620">
        <f t="shared" si="108"/>
        <v>0</v>
      </c>
      <c r="I242" s="620">
        <f t="shared" si="54"/>
        <v>0</v>
      </c>
      <c r="J242" s="620" t="str">
        <f t="shared" si="55"/>
        <v/>
      </c>
      <c r="K242" s="623">
        <f t="shared" si="108"/>
        <v>0</v>
      </c>
      <c r="L242" s="101"/>
    </row>
    <row r="243" spans="1:12" x14ac:dyDescent="0.25">
      <c r="A243" s="616" t="str">
        <f t="shared" si="90"/>
        <v>Abattoirs</v>
      </c>
      <c r="B243" s="418"/>
      <c r="C243" s="743"/>
      <c r="D243" s="743"/>
      <c r="E243" s="743"/>
      <c r="F243" s="743"/>
      <c r="G243" s="743"/>
      <c r="H243" s="743">
        <f t="shared" ref="H243:H248" si="109">D243/12*7</f>
        <v>0</v>
      </c>
      <c r="I243" s="411">
        <f t="shared" si="54"/>
        <v>0</v>
      </c>
      <c r="J243" s="411" t="str">
        <f t="shared" si="55"/>
        <v/>
      </c>
      <c r="K243" s="745"/>
      <c r="L243" s="101"/>
    </row>
    <row r="244" spans="1:12" x14ac:dyDescent="0.25">
      <c r="A244" s="616" t="str">
        <f t="shared" si="90"/>
        <v>Air Transport</v>
      </c>
      <c r="B244" s="418"/>
      <c r="C244" s="743"/>
      <c r="D244" s="743"/>
      <c r="E244" s="743"/>
      <c r="F244" s="743"/>
      <c r="G244" s="743"/>
      <c r="H244" s="743">
        <f t="shared" si="109"/>
        <v>0</v>
      </c>
      <c r="I244" s="411">
        <f t="shared" si="54"/>
        <v>0</v>
      </c>
      <c r="J244" s="411" t="str">
        <f t="shared" si="55"/>
        <v/>
      </c>
      <c r="K244" s="745"/>
      <c r="L244" s="101"/>
    </row>
    <row r="245" spans="1:12" x14ac:dyDescent="0.25">
      <c r="A245" s="616" t="str">
        <f t="shared" si="90"/>
        <v xml:space="preserve">Forestry </v>
      </c>
      <c r="B245" s="418"/>
      <c r="C245" s="743"/>
      <c r="D245" s="743"/>
      <c r="E245" s="743"/>
      <c r="F245" s="743"/>
      <c r="G245" s="743"/>
      <c r="H245" s="743">
        <f t="shared" si="109"/>
        <v>0</v>
      </c>
      <c r="I245" s="411">
        <f>G245-H245</f>
        <v>0</v>
      </c>
      <c r="J245" s="411" t="str">
        <f>IF(I245=0,"",I245/H245)</f>
        <v/>
      </c>
      <c r="K245" s="745"/>
      <c r="L245" s="101"/>
    </row>
    <row r="246" spans="1:12" x14ac:dyDescent="0.25">
      <c r="A246" s="616" t="str">
        <f t="shared" si="90"/>
        <v>Licensing and Regulation</v>
      </c>
      <c r="B246" s="418"/>
      <c r="C246" s="743"/>
      <c r="D246" s="743"/>
      <c r="E246" s="743"/>
      <c r="F246" s="743"/>
      <c r="G246" s="743"/>
      <c r="H246" s="743">
        <f t="shared" si="109"/>
        <v>0</v>
      </c>
      <c r="I246" s="411">
        <f t="shared" si="54"/>
        <v>0</v>
      </c>
      <c r="J246" s="411" t="str">
        <f t="shared" si="55"/>
        <v/>
      </c>
      <c r="K246" s="745"/>
      <c r="L246" s="101"/>
    </row>
    <row r="247" spans="1:12" x14ac:dyDescent="0.25">
      <c r="A247" s="616" t="str">
        <f t="shared" si="90"/>
        <v>Markets</v>
      </c>
      <c r="B247" s="418"/>
      <c r="C247" s="743"/>
      <c r="D247" s="743"/>
      <c r="E247" s="743"/>
      <c r="F247" s="743"/>
      <c r="G247" s="743"/>
      <c r="H247" s="743">
        <f t="shared" si="109"/>
        <v>0</v>
      </c>
      <c r="I247" s="411">
        <f>G247-H247</f>
        <v>0</v>
      </c>
      <c r="J247" s="411" t="str">
        <f>IF(I247=0,"",I247/H247)</f>
        <v/>
      </c>
      <c r="K247" s="745"/>
      <c r="L247" s="101"/>
    </row>
    <row r="248" spans="1:12" x14ac:dyDescent="0.25">
      <c r="A248" s="616" t="str">
        <f t="shared" si="90"/>
        <v>Tourism</v>
      </c>
      <c r="B248" s="418"/>
      <c r="C248" s="743">
        <v>0</v>
      </c>
      <c r="D248" s="743"/>
      <c r="E248" s="743"/>
      <c r="F248" s="743"/>
      <c r="G248" s="743"/>
      <c r="H248" s="743">
        <f t="shared" si="109"/>
        <v>0</v>
      </c>
      <c r="I248" s="411">
        <f>G248-H248</f>
        <v>0</v>
      </c>
      <c r="J248" s="411" t="str">
        <f>IF(I248=0,"",I248/H248)</f>
        <v/>
      </c>
      <c r="K248" s="745"/>
      <c r="L248" s="101"/>
    </row>
    <row r="249" spans="1:12" x14ac:dyDescent="0.25">
      <c r="A249" s="624" t="str">
        <f>"Total "&amp;A128</f>
        <v>Total Expenditure - Functional</v>
      </c>
      <c r="B249" s="418">
        <v>3</v>
      </c>
      <c r="C249" s="549">
        <f t="shared" ref="C249:I249" si="110">C129+C150+C197+C223+C242</f>
        <v>3789289061.2799997</v>
      </c>
      <c r="D249" s="549">
        <f t="shared" si="110"/>
        <v>3549930516</v>
      </c>
      <c r="E249" s="549">
        <f t="shared" si="110"/>
        <v>3547704512</v>
      </c>
      <c r="F249" s="549">
        <f t="shared" si="110"/>
        <v>268220460.31000012</v>
      </c>
      <c r="G249" s="549">
        <f t="shared" si="110"/>
        <v>1377598797.46</v>
      </c>
      <c r="H249" s="549">
        <f>H129+H150+H197+H223+H242</f>
        <v>1466778817.6666665</v>
      </c>
      <c r="I249" s="549">
        <f t="shared" si="110"/>
        <v>-89180020.206666693</v>
      </c>
      <c r="J249" s="549">
        <f>IF(I249=0,"",I249/H249)</f>
        <v>-6.0799910069967579E-2</v>
      </c>
      <c r="K249" s="606">
        <f>K129+K150+K197+K223+K242</f>
        <v>3549930516</v>
      </c>
      <c r="L249" s="101"/>
    </row>
    <row r="250" spans="1:12" x14ac:dyDescent="0.25">
      <c r="A250" s="630" t="str">
        <f>result</f>
        <v>Surplus/ (Deficit) for the year</v>
      </c>
      <c r="B250" s="631"/>
      <c r="C250" s="77">
        <f t="shared" ref="C250:H250" si="111">C126-C249</f>
        <v>256354269.74000025</v>
      </c>
      <c r="D250" s="77">
        <f t="shared" si="111"/>
        <v>1512993108</v>
      </c>
      <c r="E250" s="77">
        <f t="shared" si="111"/>
        <v>1515219112</v>
      </c>
      <c r="F250" s="77">
        <f t="shared" si="111"/>
        <v>34719560.7299999</v>
      </c>
      <c r="G250" s="77">
        <f t="shared" si="111"/>
        <v>358548874.70000005</v>
      </c>
      <c r="H250" s="77">
        <f t="shared" si="111"/>
        <v>642771447.33333349</v>
      </c>
      <c r="I250" s="643">
        <f>G250-H250</f>
        <v>-284222572.63333344</v>
      </c>
      <c r="J250" s="643">
        <f>IF(I250=0,"",I250/H250)</f>
        <v>-0.44218294669510899</v>
      </c>
      <c r="K250" s="235">
        <f>K126-K249</f>
        <v>1512993108</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184</v>
      </c>
      <c r="B252" s="633"/>
      <c r="C252" s="635"/>
      <c r="D252" s="635"/>
      <c r="E252" s="636"/>
      <c r="F252" s="636"/>
      <c r="G252" s="636"/>
      <c r="H252" s="636"/>
      <c r="I252" s="645"/>
      <c r="J252" s="645"/>
      <c r="K252" s="636"/>
    </row>
    <row r="253" spans="1:12" x14ac:dyDescent="0.25">
      <c r="A253" s="490" t="s">
        <v>1242</v>
      </c>
      <c r="B253" s="633"/>
      <c r="C253" s="635"/>
      <c r="D253" s="635"/>
      <c r="E253" s="636"/>
      <c r="F253" s="636"/>
      <c r="G253" s="636"/>
      <c r="H253" s="636"/>
      <c r="I253" s="645"/>
      <c r="J253" s="645"/>
      <c r="K253" s="636"/>
    </row>
    <row r="254" spans="1:12" x14ac:dyDescent="0.25">
      <c r="A254" s="593" t="s">
        <v>1243</v>
      </c>
      <c r="B254" s="633"/>
      <c r="C254" s="635"/>
      <c r="D254" s="635"/>
      <c r="E254" s="636"/>
      <c r="F254" s="636"/>
      <c r="G254" s="636"/>
      <c r="H254" s="636"/>
      <c r="I254" s="645"/>
      <c r="J254" s="645"/>
      <c r="K254" s="636"/>
    </row>
    <row r="255" spans="1:12" ht="25.95" customHeight="1" x14ac:dyDescent="0.25">
      <c r="A255" s="1034" t="s">
        <v>1244</v>
      </c>
      <c r="B255" s="1034"/>
      <c r="C255" s="1034"/>
      <c r="D255" s="1034"/>
      <c r="E255" s="1034"/>
      <c r="F255" s="1034"/>
      <c r="G255" s="1034"/>
      <c r="H255" s="1034"/>
      <c r="I255" s="1034"/>
      <c r="J255" s="1034"/>
      <c r="K255" s="1034"/>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0</v>
      </c>
      <c r="D258" s="637">
        <f>D126-'C4-FinPerf RE'!D53</f>
        <v>0</v>
      </c>
      <c r="E258" s="637">
        <f>E126-'C4-FinPerf RE'!E53</f>
        <v>0</v>
      </c>
      <c r="F258" s="637">
        <f>F126-'C4-FinPerf RE'!F53</f>
        <v>0</v>
      </c>
      <c r="G258" s="637">
        <f>G126-'C4-FinPerf RE'!G53</f>
        <v>0</v>
      </c>
      <c r="H258" s="637">
        <f>H126-'C4-FinPerf RE'!H53</f>
        <v>-1245</v>
      </c>
      <c r="I258" s="637">
        <f>I126-'C4-FinPerf RE'!I53</f>
        <v>-373402592.83999991</v>
      </c>
      <c r="J258" s="638"/>
      <c r="K258" s="637">
        <f>K126-'C4-FinPerf RE'!K53</f>
        <v>0</v>
      </c>
    </row>
    <row r="259" spans="1:11" x14ac:dyDescent="0.25">
      <c r="A259" s="82" t="s">
        <v>186</v>
      </c>
      <c r="B259" s="65"/>
      <c r="C259" s="637">
        <f>C249-'C4-FinPerf RE'!C36</f>
        <v>0</v>
      </c>
      <c r="D259" s="637">
        <f>D249-'C4-FinPerf RE'!D36</f>
        <v>0</v>
      </c>
      <c r="E259" s="637">
        <f>E249-'C4-FinPerf RE'!E36</f>
        <v>0</v>
      </c>
      <c r="F259" s="637">
        <f>F249-'C4-FinPerf RE'!F36</f>
        <v>0</v>
      </c>
      <c r="G259" s="637">
        <f>G249-'C4-FinPerf RE'!G36</f>
        <v>0</v>
      </c>
      <c r="H259" s="637">
        <f>H249-'C4-FinPerf RE'!H36</f>
        <v>-11431395.666666746</v>
      </c>
      <c r="I259" s="637">
        <f>I249-'C4-FinPerf RE'!I36</f>
        <v>11431395.666666523</v>
      </c>
      <c r="J259" s="638"/>
      <c r="K259" s="637">
        <f>K249-'C4-FinPerf RE'!K36</f>
        <v>2226004</v>
      </c>
    </row>
    <row r="263" spans="1:11" x14ac:dyDescent="0.25">
      <c r="E263" s="639"/>
    </row>
  </sheetData>
  <mergeCells count="4">
    <mergeCell ref="A255:K255"/>
    <mergeCell ref="A1:K1"/>
    <mergeCell ref="A2:A3"/>
    <mergeCell ref="B2:B3"/>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sqref="A1:XFD104857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33" t="str">
        <f>muni&amp; " - "&amp;S71C&amp; " - "&amp;date</f>
        <v>LIM354 Polokwane - Table C3 Monthly Budget Statement - Financial Performance (revenue and expenditure by municipal vote) - M05 November</v>
      </c>
      <c r="B1" s="1033"/>
      <c r="C1" s="1033"/>
      <c r="D1" s="1033"/>
      <c r="E1" s="1033"/>
      <c r="F1" s="1033"/>
      <c r="G1" s="1033"/>
      <c r="H1" s="1033"/>
      <c r="I1" s="1033"/>
      <c r="J1" s="1033"/>
      <c r="K1" s="1033"/>
    </row>
    <row r="2" spans="1:24" x14ac:dyDescent="0.2">
      <c r="A2" s="20" t="str">
        <f>Vdesc</f>
        <v>Vote Description</v>
      </c>
      <c r="B2" s="1024" t="str">
        <f>head27</f>
        <v>Ref</v>
      </c>
      <c r="C2" s="143" t="str">
        <f>Head1</f>
        <v>2018/19</v>
      </c>
      <c r="D2" s="1026" t="str">
        <f>Head2</f>
        <v>Budget Year 2019/20</v>
      </c>
      <c r="E2" s="1027"/>
      <c r="F2" s="1027"/>
      <c r="G2" s="1027"/>
      <c r="H2" s="1027"/>
      <c r="I2" s="1027"/>
      <c r="J2" s="1027"/>
      <c r="K2" s="1028"/>
    </row>
    <row r="3" spans="1:24" ht="20.399999999999999" x14ac:dyDescent="0.2">
      <c r="A3" s="169"/>
      <c r="B3" s="1035"/>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687</v>
      </c>
      <c r="B4" s="1036"/>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
      <c r="A5" s="36" t="s">
        <v>771</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Chef Operations Office</v>
      </c>
      <c r="B6" s="170"/>
      <c r="C6" s="135">
        <f>'C3C'!C6</f>
        <v>0</v>
      </c>
      <c r="D6" s="47">
        <f>'C3C'!D6</f>
        <v>8964</v>
      </c>
      <c r="E6" s="45">
        <f>'C3C'!E6</f>
        <v>8964</v>
      </c>
      <c r="F6" s="45">
        <f>'C3C'!F6</f>
        <v>0</v>
      </c>
      <c r="G6" s="45">
        <f>'C3C'!G6</f>
        <v>0</v>
      </c>
      <c r="H6" s="45">
        <f>'C3C'!H6</f>
        <v>747</v>
      </c>
      <c r="I6" s="45">
        <f>G6-H6</f>
        <v>-747</v>
      </c>
      <c r="J6" s="725">
        <f>IF(I6=0,"",I6/H6)</f>
        <v>-1</v>
      </c>
      <c r="K6" s="145">
        <f>'C3C'!K6</f>
        <v>8964</v>
      </c>
      <c r="L6" s="168"/>
      <c r="M6" s="168"/>
      <c r="N6" s="168"/>
      <c r="O6" s="168"/>
      <c r="P6" s="168"/>
      <c r="Q6" s="168"/>
      <c r="R6" s="168"/>
      <c r="S6" s="168"/>
      <c r="T6" s="168"/>
      <c r="U6" s="168"/>
      <c r="V6" s="168"/>
      <c r="W6" s="168"/>
      <c r="X6" s="68"/>
    </row>
    <row r="7" spans="1:24" ht="12.75" customHeight="1" x14ac:dyDescent="0.2">
      <c r="A7" s="410" t="str">
        <f>'Org structure'!A3</f>
        <v>Vote 2 - Municipal Manger Office</v>
      </c>
      <c r="B7" s="170"/>
      <c r="C7" s="135">
        <f>'C3C'!C17</f>
        <v>0</v>
      </c>
      <c r="D7" s="47">
        <f>'C3C'!D17</f>
        <v>2003988</v>
      </c>
      <c r="E7" s="45">
        <f>'C3C'!E17</f>
        <v>2003988</v>
      </c>
      <c r="F7" s="45">
        <f>'C3C'!F17</f>
        <v>0</v>
      </c>
      <c r="G7" s="45">
        <f>'C3C'!G17</f>
        <v>0</v>
      </c>
      <c r="H7" s="45">
        <f>'C3C'!H17</f>
        <v>833999</v>
      </c>
      <c r="I7" s="45">
        <f t="shared" ref="I7:I20" si="0">G7-H7</f>
        <v>-833999</v>
      </c>
      <c r="J7" s="725">
        <f t="shared" ref="J7:J21" si="1">IF(I7=0,"",I7/H7)</f>
        <v>-1</v>
      </c>
      <c r="K7" s="145">
        <f>'C3C'!K17</f>
        <v>2003988</v>
      </c>
      <c r="L7" s="168"/>
      <c r="M7" s="168"/>
      <c r="N7" s="168"/>
      <c r="O7" s="168"/>
      <c r="P7" s="168"/>
      <c r="Q7" s="168"/>
      <c r="R7" s="168"/>
      <c r="S7" s="168"/>
      <c r="T7" s="168"/>
      <c r="U7" s="168"/>
      <c r="V7" s="168"/>
      <c r="W7" s="168"/>
      <c r="X7" s="68"/>
    </row>
    <row r="8" spans="1:24" ht="12.75" customHeight="1" x14ac:dyDescent="0.2">
      <c r="A8" s="410" t="str">
        <f>'Org structure'!A4</f>
        <v>Vote 3 - Water and Sanitation</v>
      </c>
      <c r="B8" s="170"/>
      <c r="C8" s="135">
        <f>'C3C'!C28</f>
        <v>367920359.03999996</v>
      </c>
      <c r="D8" s="47">
        <f>'C3C'!D28</f>
        <v>444755976</v>
      </c>
      <c r="E8" s="45">
        <f>'C3C'!E28</f>
        <v>444755976</v>
      </c>
      <c r="F8" s="45">
        <f>'C3C'!F28</f>
        <v>33584777.520000003</v>
      </c>
      <c r="G8" s="45">
        <f>'C3C'!G28</f>
        <v>164119976.13999999</v>
      </c>
      <c r="H8" s="45">
        <f>'C3C'!H28</f>
        <v>185314990</v>
      </c>
      <c r="I8" s="45">
        <f t="shared" si="0"/>
        <v>-21195013.860000014</v>
      </c>
      <c r="J8" s="725">
        <f t="shared" si="1"/>
        <v>-0.11437290561330206</v>
      </c>
      <c r="K8" s="145">
        <f>'C3C'!K28</f>
        <v>444755976</v>
      </c>
      <c r="L8" s="168"/>
      <c r="M8" s="168"/>
      <c r="N8" s="168"/>
      <c r="O8" s="168"/>
      <c r="P8" s="168"/>
      <c r="Q8" s="168"/>
      <c r="R8" s="168"/>
      <c r="S8" s="168"/>
      <c r="T8" s="168"/>
      <c r="U8" s="168"/>
      <c r="V8" s="168"/>
      <c r="W8" s="168"/>
      <c r="X8" s="68"/>
    </row>
    <row r="9" spans="1:24" ht="12.75" customHeight="1" x14ac:dyDescent="0.2">
      <c r="A9" s="410" t="str">
        <f>'Org structure'!A5</f>
        <v>Vote 4 - Energy Services</v>
      </c>
      <c r="B9" s="170"/>
      <c r="C9" s="135">
        <f>'C3C'!C39</f>
        <v>956100536.37</v>
      </c>
      <c r="D9" s="47">
        <f>'C3C'!D39</f>
        <v>1192843992</v>
      </c>
      <c r="E9" s="45">
        <f>'C3C'!E39</f>
        <v>1192843992</v>
      </c>
      <c r="F9" s="45">
        <f>'C3C'!F39</f>
        <v>70290721.210000008</v>
      </c>
      <c r="G9" s="45">
        <f>'C3C'!G39</f>
        <v>428919089.12999994</v>
      </c>
      <c r="H9" s="45">
        <f>'C3C'!H39</f>
        <v>497018330</v>
      </c>
      <c r="I9" s="45">
        <f t="shared" si="0"/>
        <v>-68099240.870000064</v>
      </c>
      <c r="J9" s="725">
        <f t="shared" si="1"/>
        <v>-0.13701555206223492</v>
      </c>
      <c r="K9" s="145">
        <f>'C3C'!K39</f>
        <v>1192843992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110501047.55000001</v>
      </c>
      <c r="D10" s="47">
        <f>'C3C'!D50</f>
        <v>145662912</v>
      </c>
      <c r="E10" s="45">
        <f>'C3C'!E50</f>
        <v>145662912</v>
      </c>
      <c r="F10" s="45">
        <f>'C3C'!F50</f>
        <v>10258842.109999999</v>
      </c>
      <c r="G10" s="45">
        <f>'C3C'!G50</f>
        <v>50148991.479999997</v>
      </c>
      <c r="H10" s="45">
        <f>'C3C'!H50</f>
        <v>60692880</v>
      </c>
      <c r="I10" s="45">
        <f t="shared" si="0"/>
        <v>-10543888.520000003</v>
      </c>
      <c r="J10" s="725">
        <f t="shared" si="1"/>
        <v>-0.17372529561951919</v>
      </c>
      <c r="K10" s="145">
        <f>'C3C'!K50</f>
        <v>145662912</v>
      </c>
      <c r="L10" s="168"/>
      <c r="M10" s="168"/>
      <c r="N10" s="168"/>
      <c r="O10" s="168"/>
      <c r="P10" s="168"/>
      <c r="Q10" s="168"/>
      <c r="R10" s="168"/>
      <c r="S10" s="168"/>
      <c r="T10" s="168"/>
      <c r="U10" s="168"/>
      <c r="V10" s="168"/>
      <c r="W10" s="168"/>
      <c r="X10" s="68"/>
    </row>
    <row r="11" spans="1:24" ht="12.75" customHeight="1" x14ac:dyDescent="0.2">
      <c r="A11" s="410" t="str">
        <f>'Org structure'!A7</f>
        <v>Vote 6 - Public Safety</v>
      </c>
      <c r="B11" s="170"/>
      <c r="C11" s="135">
        <f>'C3C'!C61</f>
        <v>17169719.940000001</v>
      </c>
      <c r="D11" s="47">
        <f>'C3C'!D61</f>
        <v>66258972</v>
      </c>
      <c r="E11" s="45">
        <f>'C3C'!E61</f>
        <v>66258972</v>
      </c>
      <c r="F11" s="45">
        <f>'C3C'!F61</f>
        <v>6847732.9699999997</v>
      </c>
      <c r="G11" s="45">
        <f>'C3C'!G61</f>
        <v>10803105.970000003</v>
      </c>
      <c r="H11" s="45">
        <f>'C3C'!H61</f>
        <v>27607905</v>
      </c>
      <c r="I11" s="45">
        <f t="shared" si="0"/>
        <v>-16804799.029999997</v>
      </c>
      <c r="J11" s="725">
        <f t="shared" si="1"/>
        <v>-0.60869519183002108</v>
      </c>
      <c r="K11" s="145">
        <f>'C3C'!K61</f>
        <v>66258972</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30173364.699999999</v>
      </c>
      <c r="D12" s="47">
        <f>'C3C'!D72</f>
        <v>5668944</v>
      </c>
      <c r="E12" s="45">
        <f>'C3C'!E72</f>
        <v>5668944</v>
      </c>
      <c r="F12" s="45">
        <f>'C3C'!F72</f>
        <v>139951.65999999997</v>
      </c>
      <c r="G12" s="45">
        <f>'C3C'!G72</f>
        <v>2463213.9500000002</v>
      </c>
      <c r="H12" s="45">
        <f>'C3C'!H72</f>
        <v>2362060</v>
      </c>
      <c r="I12" s="45">
        <f t="shared" si="0"/>
        <v>101153.95000000019</v>
      </c>
      <c r="J12" s="725">
        <f t="shared" si="1"/>
        <v>4.282446254540536E-2</v>
      </c>
      <c r="K12" s="145">
        <f>'C3C'!K72</f>
        <v>5668944</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227869562.54000002</v>
      </c>
      <c r="D13" s="47">
        <f>'C3C'!D83</f>
        <v>53479932</v>
      </c>
      <c r="E13" s="45">
        <f>'C3C'!E83</f>
        <v>53479932</v>
      </c>
      <c r="F13" s="45">
        <f>'C3C'!F83</f>
        <v>1611181.58</v>
      </c>
      <c r="G13" s="45">
        <f>'C3C'!G83</f>
        <v>7169013.8800000008</v>
      </c>
      <c r="H13" s="45">
        <f>'C3C'!H83</f>
        <v>22283305</v>
      </c>
      <c r="I13" s="45">
        <f t="shared" si="0"/>
        <v>-15114291.119999999</v>
      </c>
      <c r="J13" s="725">
        <f t="shared" si="1"/>
        <v>-0.67827869878368574</v>
      </c>
      <c r="K13" s="145">
        <f>'C3C'!K83</f>
        <v>53479932</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2259896440.0599999</v>
      </c>
      <c r="D14" s="47">
        <f>'C3C'!D94</f>
        <v>3143104980</v>
      </c>
      <c r="E14" s="45">
        <f>'C3C'!E94</f>
        <v>3143104980</v>
      </c>
      <c r="F14" s="45">
        <f>'C3C'!F94</f>
        <v>172862695.59000006</v>
      </c>
      <c r="G14" s="45">
        <f>'C3C'!G94</f>
        <v>1028577342.2399998</v>
      </c>
      <c r="H14" s="45">
        <f>'C3C'!H94</f>
        <v>1309631059</v>
      </c>
      <c r="I14" s="45">
        <f t="shared" si="0"/>
        <v>-281053716.76000023</v>
      </c>
      <c r="J14" s="725">
        <f t="shared" si="1"/>
        <v>-0.21460526216796164</v>
      </c>
      <c r="K14" s="145">
        <f>'C3C'!K94</f>
        <v>3143104980</v>
      </c>
      <c r="L14" s="705"/>
      <c r="M14" s="168"/>
      <c r="N14" s="168"/>
      <c r="O14" s="168"/>
      <c r="P14" s="168"/>
      <c r="Q14" s="168"/>
      <c r="R14" s="168"/>
      <c r="S14" s="168"/>
      <c r="T14" s="168"/>
      <c r="U14" s="168"/>
      <c r="V14" s="168"/>
      <c r="W14" s="168"/>
      <c r="X14" s="68"/>
    </row>
    <row r="15" spans="1:24" ht="11.25" customHeight="1" x14ac:dyDescent="0.2">
      <c r="A15" s="410" t="str">
        <f>'Org structure'!A11</f>
        <v>Vote 10 - Transport Services</v>
      </c>
      <c r="B15" s="170"/>
      <c r="C15" s="135">
        <f>'C3C'!C105</f>
        <v>75706783.690000013</v>
      </c>
      <c r="D15" s="47">
        <f>'C3C'!D105</f>
        <v>276972</v>
      </c>
      <c r="E15" s="45">
        <f>'C3C'!E105</f>
        <v>276972</v>
      </c>
      <c r="F15" s="45">
        <f>'C3C'!F105</f>
        <v>7253463.46</v>
      </c>
      <c r="G15" s="45">
        <f>'C3C'!G105</f>
        <v>43510317.07</v>
      </c>
      <c r="H15" s="45">
        <f>'C3C'!H105</f>
        <v>115405</v>
      </c>
      <c r="I15" s="45">
        <f t="shared" si="0"/>
        <v>43394912.07</v>
      </c>
      <c r="J15" s="725">
        <f t="shared" si="1"/>
        <v>376.02280724405358</v>
      </c>
      <c r="K15" s="145">
        <f>'C3C'!K105</f>
        <v>276972</v>
      </c>
      <c r="L15" s="705"/>
      <c r="M15" s="168"/>
      <c r="N15" s="168"/>
      <c r="O15" s="168"/>
      <c r="P15" s="168"/>
      <c r="Q15" s="168"/>
      <c r="R15" s="168"/>
      <c r="S15" s="168"/>
      <c r="T15" s="168"/>
      <c r="U15" s="168"/>
      <c r="V15" s="168"/>
      <c r="W15" s="168"/>
      <c r="X15" s="68"/>
    </row>
    <row r="16" spans="1:24" ht="11.25" customHeight="1" x14ac:dyDescent="0.2">
      <c r="A16" s="410" t="str">
        <f>'Org structure'!A12</f>
        <v>Vote 11 - Human Settlement</v>
      </c>
      <c r="B16" s="170"/>
      <c r="C16" s="135">
        <f>'C3C'!C116</f>
        <v>305517.13</v>
      </c>
      <c r="D16" s="47">
        <f>'C3C'!D116</f>
        <v>8857992</v>
      </c>
      <c r="E16" s="45">
        <f>'C3C'!E116</f>
        <v>8857992</v>
      </c>
      <c r="F16" s="45">
        <f>'C3C'!F116</f>
        <v>90654.94</v>
      </c>
      <c r="G16" s="45">
        <f>'C3C'!G116</f>
        <v>436622.3</v>
      </c>
      <c r="H16" s="45">
        <f>'C3C'!H116</f>
        <v>3690830</v>
      </c>
      <c r="I16" s="45">
        <f t="shared" si="0"/>
        <v>-3254207.7</v>
      </c>
      <c r="J16" s="725">
        <f t="shared" si="1"/>
        <v>-0.88170078275076347</v>
      </c>
      <c r="K16" s="145">
        <f>'C3C'!K116</f>
        <v>8857992</v>
      </c>
      <c r="L16" s="101"/>
      <c r="M16" s="168"/>
      <c r="N16" s="168"/>
      <c r="O16" s="168"/>
      <c r="P16" s="168"/>
      <c r="Q16" s="168"/>
      <c r="R16" s="168"/>
      <c r="S16" s="168"/>
      <c r="T16" s="168"/>
      <c r="U16" s="168"/>
      <c r="V16" s="168"/>
      <c r="W16" s="168"/>
      <c r="X16" s="68"/>
    </row>
    <row r="17" spans="1:24" ht="11.25" customHeight="1" x14ac:dyDescent="0.2">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655</v>
      </c>
      <c r="B21" s="234">
        <v>2</v>
      </c>
      <c r="C21" s="146">
        <f>SUM(C6:C20)</f>
        <v>4045643331.02</v>
      </c>
      <c r="D21" s="75">
        <f t="shared" ref="D21:I21" si="2">SUM(D6:D20)</f>
        <v>5062923624</v>
      </c>
      <c r="E21" s="74">
        <f t="shared" si="2"/>
        <v>5062923624</v>
      </c>
      <c r="F21" s="74">
        <f t="shared" si="2"/>
        <v>302940021.04000008</v>
      </c>
      <c r="G21" s="74">
        <f t="shared" si="2"/>
        <v>1736147672.1599998</v>
      </c>
      <c r="H21" s="74">
        <f t="shared" si="2"/>
        <v>2109551510</v>
      </c>
      <c r="I21" s="74">
        <f t="shared" si="2"/>
        <v>-373403837.84000033</v>
      </c>
      <c r="J21" s="726">
        <f t="shared" si="1"/>
        <v>-0.17700626700506608</v>
      </c>
      <c r="K21" s="146">
        <f>SUM(K6:K20)</f>
        <v>5062923624</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772</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Chef Operations Office</v>
      </c>
      <c r="B24" s="170"/>
      <c r="C24" s="135">
        <f>'C3C'!C174</f>
        <v>96914217.120000005</v>
      </c>
      <c r="D24" s="47">
        <f>'C3C'!D174</f>
        <v>173904164</v>
      </c>
      <c r="E24" s="45">
        <f>'C3C'!E174</f>
        <v>176406368</v>
      </c>
      <c r="F24" s="45">
        <f>'C3C'!F174</f>
        <v>13101790.360000001</v>
      </c>
      <c r="G24" s="45">
        <f>'C3C'!G174</f>
        <v>59793970.450000003</v>
      </c>
      <c r="H24" s="45">
        <f>'C3C'!H174</f>
        <v>73502653.333333328</v>
      </c>
      <c r="I24" s="45">
        <f t="shared" ref="I24:I38" si="3">G24-H24</f>
        <v>-13708682.883333325</v>
      </c>
      <c r="J24" s="725">
        <f t="shared" ref="J24:J29" si="4">IF(I24=0,"",I24/H24)</f>
        <v>-0.18650595946740417</v>
      </c>
      <c r="K24" s="145">
        <f>'C3C'!K174</f>
        <v>176406368</v>
      </c>
      <c r="L24" s="98"/>
      <c r="M24" s="85"/>
      <c r="N24" s="85"/>
      <c r="O24" s="85"/>
      <c r="P24" s="85"/>
      <c r="Q24" s="85"/>
      <c r="R24" s="85"/>
      <c r="S24" s="85"/>
      <c r="T24" s="85"/>
      <c r="U24" s="85"/>
      <c r="V24" s="85"/>
      <c r="W24" s="85"/>
      <c r="X24" s="68"/>
    </row>
    <row r="25" spans="1:24" ht="12.75" customHeight="1" x14ac:dyDescent="0.2">
      <c r="A25" s="40" t="str">
        <f>'Org structure'!A3</f>
        <v>Vote 2 - Municipal Manger Office</v>
      </c>
      <c r="B25" s="170"/>
      <c r="C25" s="135">
        <f>'C3C'!C185</f>
        <v>100797153.92</v>
      </c>
      <c r="D25" s="47">
        <f>'C3C'!D185</f>
        <v>310334040</v>
      </c>
      <c r="E25" s="45">
        <f>'C3C'!E185</f>
        <v>308168240</v>
      </c>
      <c r="F25" s="45">
        <f>'C3C'!F185</f>
        <v>6567006.3099999996</v>
      </c>
      <c r="G25" s="45">
        <f>'C3C'!G185</f>
        <v>41551578.68</v>
      </c>
      <c r="H25" s="45">
        <f>'C3C'!H185</f>
        <v>128403433.33333333</v>
      </c>
      <c r="I25" s="45">
        <f t="shared" si="3"/>
        <v>-86851854.653333336</v>
      </c>
      <c r="J25" s="725">
        <f t="shared" si="4"/>
        <v>-0.67639822704636932</v>
      </c>
      <c r="K25" s="145">
        <f>'C3C'!K185</f>
        <v>308168240</v>
      </c>
      <c r="L25" s="98"/>
      <c r="M25" s="98"/>
      <c r="N25" s="98"/>
      <c r="O25" s="98"/>
      <c r="P25" s="98"/>
      <c r="Q25" s="98"/>
      <c r="R25" s="98"/>
      <c r="S25" s="98"/>
      <c r="T25" s="98"/>
      <c r="U25" s="98"/>
      <c r="V25" s="98"/>
      <c r="W25" s="98"/>
      <c r="X25" s="68"/>
    </row>
    <row r="26" spans="1:24" ht="12.75" customHeight="1" x14ac:dyDescent="0.2">
      <c r="A26" s="40" t="str">
        <f>'Org structure'!A4</f>
        <v>Vote 3 - Water and Sanitation</v>
      </c>
      <c r="B26" s="170"/>
      <c r="C26" s="135">
        <f>'C3C'!C196</f>
        <v>363795872.22000003</v>
      </c>
      <c r="D26" s="47">
        <f>'C3C'!D196</f>
        <v>476061904</v>
      </c>
      <c r="E26" s="45">
        <f>'C3C'!E196</f>
        <v>476062004</v>
      </c>
      <c r="F26" s="45">
        <f>'C3C'!F196</f>
        <v>35272308.280000001</v>
      </c>
      <c r="G26" s="45">
        <f>'C3C'!G196</f>
        <v>167979809.18000001</v>
      </c>
      <c r="H26" s="45">
        <f>'C3C'!H196</f>
        <v>198359168.33333331</v>
      </c>
      <c r="I26" s="45">
        <f t="shared" si="3"/>
        <v>-30379359.153333306</v>
      </c>
      <c r="J26" s="725">
        <f t="shared" si="4"/>
        <v>-0.15315328960384736</v>
      </c>
      <c r="K26" s="145">
        <f>'C3C'!K196</f>
        <v>476061904</v>
      </c>
      <c r="L26" s="98"/>
      <c r="M26" s="98"/>
      <c r="N26" s="98"/>
      <c r="O26" s="98"/>
      <c r="P26" s="98"/>
      <c r="Q26" s="98"/>
      <c r="R26" s="98"/>
      <c r="S26" s="98"/>
      <c r="T26" s="98"/>
      <c r="U26" s="98"/>
      <c r="V26" s="98"/>
      <c r="W26" s="98"/>
      <c r="X26" s="68"/>
    </row>
    <row r="27" spans="1:24" ht="12.75" customHeight="1" x14ac:dyDescent="0.2">
      <c r="A27" s="40" t="str">
        <f>'Org structure'!A5</f>
        <v>Vote 4 - Energy Services</v>
      </c>
      <c r="B27" s="170"/>
      <c r="C27" s="135">
        <f>'C3C'!C207</f>
        <v>797672125.25999963</v>
      </c>
      <c r="D27" s="47">
        <f>'C3C'!D207</f>
        <v>961329108</v>
      </c>
      <c r="E27" s="45">
        <f>'C3C'!E207</f>
        <v>961329708</v>
      </c>
      <c r="F27" s="45">
        <f>'C3C'!F207</f>
        <v>70448380.400000006</v>
      </c>
      <c r="G27" s="45">
        <f>'C3C'!G207</f>
        <v>412281503.55000001</v>
      </c>
      <c r="H27" s="45">
        <f>'C3C'!H207</f>
        <v>400554045</v>
      </c>
      <c r="I27" s="45">
        <f t="shared" si="3"/>
        <v>11727458.550000012</v>
      </c>
      <c r="J27" s="725">
        <f t="shared" si="4"/>
        <v>2.9278092922516891E-2</v>
      </c>
      <c r="K27" s="145">
        <f>'C3C'!K207</f>
        <v>961329708</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273839589.5</v>
      </c>
      <c r="D28" s="47">
        <f>'C3C'!D218</f>
        <v>338671680</v>
      </c>
      <c r="E28" s="45">
        <f>'C3C'!E218</f>
        <v>340022380</v>
      </c>
      <c r="F28" s="45">
        <f>'C3C'!F218</f>
        <v>22931113.589999996</v>
      </c>
      <c r="G28" s="45">
        <f>'C3C'!G218</f>
        <v>94680191.170000017</v>
      </c>
      <c r="H28" s="45">
        <f>'C3C'!H218</f>
        <v>141675991.66666666</v>
      </c>
      <c r="I28" s="45">
        <f t="shared" si="3"/>
        <v>-46995800.49666664</v>
      </c>
      <c r="J28" s="725">
        <f t="shared" si="4"/>
        <v>-0.33171322779400564</v>
      </c>
      <c r="K28" s="145">
        <f>'C3C'!K218</f>
        <v>340022380</v>
      </c>
      <c r="L28" s="98"/>
      <c r="M28" s="98"/>
      <c r="N28" s="98"/>
      <c r="O28" s="98"/>
      <c r="P28" s="98"/>
      <c r="Q28" s="98"/>
      <c r="R28" s="98"/>
      <c r="S28" s="98"/>
      <c r="T28" s="98"/>
      <c r="U28" s="98"/>
      <c r="V28" s="98"/>
      <c r="W28" s="98"/>
      <c r="X28" s="68"/>
    </row>
    <row r="29" spans="1:24" ht="12.75" customHeight="1" x14ac:dyDescent="0.2">
      <c r="A29" s="40" t="str">
        <f>'Org structure'!A7</f>
        <v>Vote 6 - Public Safety</v>
      </c>
      <c r="B29" s="170"/>
      <c r="C29" s="135">
        <f>'C3C'!C229</f>
        <v>234959699.64000002</v>
      </c>
      <c r="D29" s="47">
        <f>'C3C'!D229</f>
        <v>278091984</v>
      </c>
      <c r="E29" s="45">
        <f>'C3C'!E229</f>
        <v>276618884</v>
      </c>
      <c r="F29" s="45">
        <f>'C3C'!F229</f>
        <v>22866689.899999999</v>
      </c>
      <c r="G29" s="45">
        <f>'C3C'!G229</f>
        <v>100722079.18000001</v>
      </c>
      <c r="H29" s="45">
        <f>'C3C'!H229</f>
        <v>115257868.33333334</v>
      </c>
      <c r="I29" s="45">
        <f t="shared" si="3"/>
        <v>-14535789.153333336</v>
      </c>
      <c r="J29" s="725">
        <f t="shared" si="4"/>
        <v>-0.1261153738441082</v>
      </c>
      <c r="K29" s="145">
        <f>'C3C'!K229</f>
        <v>276618884</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260962451.56000003</v>
      </c>
      <c r="D30" s="47">
        <f>'C3C'!D240</f>
        <v>206024904</v>
      </c>
      <c r="E30" s="45">
        <f>'C3C'!E240</f>
        <v>206025204</v>
      </c>
      <c r="F30" s="45">
        <f>'C3C'!F240</f>
        <v>15801931.09</v>
      </c>
      <c r="G30" s="45">
        <f>'C3C'!G240</f>
        <v>82135568.480000019</v>
      </c>
      <c r="H30" s="45">
        <f>'C3C'!H240</f>
        <v>85843835</v>
      </c>
      <c r="I30" s="45">
        <f t="shared" si="3"/>
        <v>-3708266.5199999809</v>
      </c>
      <c r="J30" s="725">
        <f t="shared" ref="J30:J38" si="5">IF(I30=0,"",I30/H30)</f>
        <v>-4.3197819855088963E-2</v>
      </c>
      <c r="K30" s="145">
        <f>'C3C'!K240</f>
        <v>206025204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110740016.91999999</v>
      </c>
      <c r="D31" s="47">
        <f>'C3C'!D251</f>
        <v>119534280</v>
      </c>
      <c r="E31" s="45">
        <f>'C3C'!E251</f>
        <v>117595276</v>
      </c>
      <c r="F31" s="45">
        <f>'C3C'!F251</f>
        <v>4571049.7500000009</v>
      </c>
      <c r="G31" s="45">
        <f>'C3C'!G251</f>
        <v>22914222.189999994</v>
      </c>
      <c r="H31" s="45">
        <f>'C3C'!H251</f>
        <v>48998031.666666657</v>
      </c>
      <c r="I31" s="45">
        <f t="shared" si="3"/>
        <v>-26083809.476666663</v>
      </c>
      <c r="J31" s="725">
        <f t="shared" si="5"/>
        <v>-0.53234402667671787</v>
      </c>
      <c r="K31" s="145">
        <f>'C3C'!K251</f>
        <v>117595276</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1394226880.7300007</v>
      </c>
      <c r="D32" s="47">
        <f>'C3C'!D262</f>
        <v>444516900</v>
      </c>
      <c r="E32" s="45">
        <f>'C3C'!E262</f>
        <v>444014396</v>
      </c>
      <c r="F32" s="45">
        <f>'C3C'!F262</f>
        <v>65450079.240000047</v>
      </c>
      <c r="G32" s="45">
        <f>'C3C'!G262</f>
        <v>351058699.18000013</v>
      </c>
      <c r="H32" s="45">
        <f>'C3C'!H262</f>
        <v>185005998.33333293</v>
      </c>
      <c r="I32" s="45">
        <f t="shared" si="3"/>
        <v>166052700.8466672</v>
      </c>
      <c r="J32" s="725">
        <f t="shared" si="5"/>
        <v>0.89755306499567222</v>
      </c>
      <c r="K32" s="145">
        <f>'C3C'!K262</f>
        <v>444014396</v>
      </c>
      <c r="L32" s="98"/>
      <c r="M32" s="98"/>
      <c r="N32" s="98"/>
      <c r="O32" s="98"/>
      <c r="P32" s="98"/>
      <c r="Q32" s="98"/>
      <c r="R32" s="98"/>
      <c r="S32" s="98"/>
      <c r="T32" s="98"/>
      <c r="U32" s="98"/>
      <c r="V32" s="98"/>
      <c r="W32" s="98"/>
      <c r="X32" s="68"/>
    </row>
    <row r="33" spans="1:24" ht="11.25" customHeight="1" x14ac:dyDescent="0.2">
      <c r="A33" s="40" t="str">
        <f>'Org structure'!A11</f>
        <v>Vote 10 - Transport Services</v>
      </c>
      <c r="B33" s="170"/>
      <c r="C33" s="135">
        <f>'C3C'!C273</f>
        <v>154792020.97999996</v>
      </c>
      <c r="D33" s="47">
        <f>'C3C'!D273</f>
        <v>228888216</v>
      </c>
      <c r="E33" s="45">
        <f>'C3C'!E273</f>
        <v>228888316</v>
      </c>
      <c r="F33" s="45">
        <f>'C3C'!F273</f>
        <v>10358472.77</v>
      </c>
      <c r="G33" s="45">
        <f>'C3C'!G273</f>
        <v>40090054.530000009</v>
      </c>
      <c r="H33" s="45">
        <f>'C3C'!H273</f>
        <v>95370131.666666657</v>
      </c>
      <c r="I33" s="45">
        <f t="shared" si="3"/>
        <v>-55280077.136666648</v>
      </c>
      <c r="J33" s="725">
        <f>IF(I33=0,"",I33/H33)</f>
        <v>-0.57963721104925237</v>
      </c>
      <c r="K33" s="145">
        <f>'C3C'!K273</f>
        <v>228888216</v>
      </c>
      <c r="L33" s="98"/>
      <c r="M33" s="98"/>
      <c r="N33" s="98"/>
      <c r="O33" s="98"/>
      <c r="P33" s="98"/>
      <c r="Q33" s="98"/>
      <c r="R33" s="98"/>
      <c r="S33" s="98"/>
      <c r="T33" s="98"/>
      <c r="U33" s="98"/>
      <c r="V33" s="98"/>
      <c r="W33" s="98"/>
      <c r="X33" s="68"/>
    </row>
    <row r="34" spans="1:24" ht="11.25" customHeight="1" x14ac:dyDescent="0.2">
      <c r="A34" s="40" t="str">
        <f>'Org structure'!A12</f>
        <v>Vote 11 - Human Settlement</v>
      </c>
      <c r="B34" s="170"/>
      <c r="C34" s="135">
        <f>'C3C'!C284</f>
        <v>589033.43000000005</v>
      </c>
      <c r="D34" s="47">
        <f>'C3C'!D284</f>
        <v>12573336</v>
      </c>
      <c r="E34" s="45">
        <f>'C3C'!E284</f>
        <v>12573736</v>
      </c>
      <c r="F34" s="45">
        <f>'C3C'!F284</f>
        <v>851638.61999999988</v>
      </c>
      <c r="G34" s="45">
        <f>'C3C'!G284</f>
        <v>4391120.8699999992</v>
      </c>
      <c r="H34" s="45">
        <f>'C3C'!H284</f>
        <v>5239056.666666666</v>
      </c>
      <c r="I34" s="45">
        <f t="shared" si="3"/>
        <v>-847935.79666666687</v>
      </c>
      <c r="J34" s="725">
        <f>IF(I34=0,"",I34/H34)</f>
        <v>-0.16184894545264833</v>
      </c>
      <c r="K34" s="145">
        <f>'C3C'!K284</f>
        <v>12573736</v>
      </c>
      <c r="L34" s="101"/>
      <c r="M34" s="98"/>
      <c r="N34" s="98"/>
      <c r="O34" s="98"/>
      <c r="P34" s="98"/>
      <c r="Q34" s="98"/>
      <c r="R34" s="98"/>
      <c r="S34" s="98"/>
      <c r="T34" s="98"/>
      <c r="U34" s="98"/>
      <c r="V34" s="98"/>
      <c r="W34" s="98"/>
      <c r="X34" s="68"/>
    </row>
    <row r="35" spans="1:24" ht="11.25" customHeight="1" x14ac:dyDescent="0.2">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654</v>
      </c>
      <c r="B39" s="234">
        <v>2</v>
      </c>
      <c r="C39" s="519">
        <f>SUM(C24:C38)</f>
        <v>3789289061.2799997</v>
      </c>
      <c r="D39" s="478">
        <f t="shared" ref="D39:I39" si="6">SUM(D24:D38)</f>
        <v>3549930516</v>
      </c>
      <c r="E39" s="433">
        <f t="shared" si="6"/>
        <v>3547704512</v>
      </c>
      <c r="F39" s="433">
        <f t="shared" si="6"/>
        <v>268220460.31000006</v>
      </c>
      <c r="G39" s="433">
        <f t="shared" si="6"/>
        <v>1377598797.46</v>
      </c>
      <c r="H39" s="433">
        <f t="shared" si="6"/>
        <v>1478210213.3333333</v>
      </c>
      <c r="I39" s="433">
        <f t="shared" si="6"/>
        <v>-100611415.87333269</v>
      </c>
      <c r="J39" s="728">
        <f>IF(I39=0,"",I39/H39)</f>
        <v>-6.8062996024399025E-2</v>
      </c>
      <c r="K39" s="516">
        <f>SUM(K24:K38)</f>
        <v>3547704312</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256354269.74000025</v>
      </c>
      <c r="D40" s="57">
        <f t="shared" si="7"/>
        <v>1512993108</v>
      </c>
      <c r="E40" s="56">
        <f t="shared" si="7"/>
        <v>1515219112</v>
      </c>
      <c r="F40" s="56">
        <f t="shared" si="7"/>
        <v>34719560.730000019</v>
      </c>
      <c r="G40" s="56">
        <f t="shared" si="7"/>
        <v>358548874.69999981</v>
      </c>
      <c r="H40" s="56">
        <f t="shared" si="7"/>
        <v>631341296.66666675</v>
      </c>
      <c r="I40" s="56">
        <f>I21-I39</f>
        <v>-272792421.96666765</v>
      </c>
      <c r="J40" s="729">
        <f>IF(I40=0,"",I40/H40)</f>
        <v>-0.4320839194377864</v>
      </c>
      <c r="K40" s="236">
        <f>K21-K39</f>
        <v>1515219312</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9"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16" activePane="bottomRight" state="frozen"/>
      <selection pane="topRight"/>
      <selection pane="bottomLeft"/>
      <selection pane="bottomRight" activeCell="K285" sqref="K285:K287"/>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M05 November</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26" t="str">
        <f>Head2</f>
        <v>Budget Year 2019/20</v>
      </c>
      <c r="E2" s="1027"/>
      <c r="F2" s="1027"/>
      <c r="G2" s="1027"/>
      <c r="H2" s="1027"/>
      <c r="I2" s="1027"/>
      <c r="J2" s="1027"/>
      <c r="K2" s="1028"/>
      <c r="L2" s="1037" t="e">
        <f>Head4</f>
        <v>#REF!</v>
      </c>
      <c r="M2" s="1038"/>
      <c r="N2" s="1038"/>
      <c r="O2" s="1038"/>
      <c r="P2" s="1038"/>
      <c r="Q2" s="1038"/>
      <c r="R2" s="1038"/>
      <c r="S2" s="1038"/>
      <c r="T2" s="1038"/>
      <c r="U2" s="1038"/>
      <c r="V2" s="1038"/>
      <c r="W2" s="1039"/>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Chef Operations Office</v>
      </c>
      <c r="B6" s="443"/>
      <c r="C6" s="506">
        <f>SUM(C7:C16)</f>
        <v>0</v>
      </c>
      <c r="D6" s="447">
        <f t="shared" ref="D6:K6" si="0">SUM(D7:D16)</f>
        <v>8964</v>
      </c>
      <c r="E6" s="444">
        <f t="shared" si="0"/>
        <v>8964</v>
      </c>
      <c r="F6" s="446">
        <f t="shared" si="0"/>
        <v>0</v>
      </c>
      <c r="G6" s="444">
        <f t="shared" si="0"/>
        <v>0</v>
      </c>
      <c r="H6" s="446">
        <f t="shared" si="0"/>
        <v>747</v>
      </c>
      <c r="I6" s="45">
        <f t="shared" ref="I6:I69" si="1">G6-H6</f>
        <v>-747</v>
      </c>
      <c r="J6" s="333">
        <f t="shared" ref="J6:J69" si="2">IF(I6=0,"",I6/H6)</f>
        <v>-1</v>
      </c>
      <c r="K6" s="445">
        <f t="shared" si="0"/>
        <v>8964</v>
      </c>
      <c r="L6" s="427"/>
      <c r="M6" s="39"/>
      <c r="N6" s="39"/>
      <c r="O6" s="39"/>
      <c r="P6" s="39"/>
      <c r="Q6" s="39"/>
      <c r="R6" s="39"/>
      <c r="S6" s="39"/>
      <c r="T6" s="39"/>
      <c r="U6" s="39"/>
      <c r="V6" s="39"/>
      <c r="W6" s="39"/>
    </row>
    <row r="7" spans="1:23" ht="11.25" customHeight="1" x14ac:dyDescent="0.2">
      <c r="A7" s="410" t="str">
        <f>'Org structure'!E3</f>
        <v>1.1 - Chef Operations Office (administration)</v>
      </c>
      <c r="B7" s="448"/>
      <c r="C7" s="749">
        <v>0</v>
      </c>
      <c r="D7" s="750">
        <v>996</v>
      </c>
      <c r="E7" s="751">
        <v>996</v>
      </c>
      <c r="F7" s="752">
        <v>0</v>
      </c>
      <c r="G7" s="751">
        <v>0</v>
      </c>
      <c r="H7" s="751">
        <f>D7/12</f>
        <v>83</v>
      </c>
      <c r="I7" s="45">
        <f t="shared" si="1"/>
        <v>-83</v>
      </c>
      <c r="J7" s="333">
        <f t="shared" si="2"/>
        <v>-1</v>
      </c>
      <c r="K7" s="753">
        <f t="shared" ref="K7:K16" si="3">D7</f>
        <v>996</v>
      </c>
      <c r="L7" s="427"/>
      <c r="M7" s="39"/>
      <c r="N7" s="39"/>
      <c r="O7" s="39"/>
      <c r="P7" s="39"/>
      <c r="Q7" s="39"/>
      <c r="R7" s="39"/>
      <c r="S7" s="39"/>
      <c r="T7" s="39"/>
      <c r="U7" s="39"/>
      <c r="V7" s="39"/>
      <c r="W7" s="39"/>
    </row>
    <row r="8" spans="1:23" ht="11.25" customHeight="1" x14ac:dyDescent="0.2">
      <c r="A8" s="410" t="str">
        <f>'Org structure'!E4</f>
        <v>1.2 - Legislative support</v>
      </c>
      <c r="B8" s="448"/>
      <c r="C8" s="749">
        <v>0</v>
      </c>
      <c r="D8" s="750">
        <v>996</v>
      </c>
      <c r="E8" s="751">
        <v>996</v>
      </c>
      <c r="F8" s="752">
        <v>0</v>
      </c>
      <c r="G8" s="751">
        <v>0</v>
      </c>
      <c r="H8" s="751">
        <f t="shared" ref="H8:H16" si="4">D8/12</f>
        <v>83</v>
      </c>
      <c r="I8" s="45">
        <f t="shared" si="1"/>
        <v>-83</v>
      </c>
      <c r="J8" s="333">
        <f t="shared" si="2"/>
        <v>-1</v>
      </c>
      <c r="K8" s="753">
        <f t="shared" si="3"/>
        <v>996</v>
      </c>
      <c r="L8" s="427"/>
      <c r="M8" s="39"/>
      <c r="N8" s="39"/>
      <c r="O8" s="39"/>
      <c r="P8" s="39"/>
      <c r="Q8" s="39"/>
      <c r="R8" s="39"/>
      <c r="S8" s="39"/>
      <c r="T8" s="39"/>
      <c r="U8" s="39"/>
      <c r="V8" s="39"/>
      <c r="W8" s="39"/>
    </row>
    <row r="9" spans="1:23" ht="11.25" customHeight="1" x14ac:dyDescent="0.2">
      <c r="A9" s="410" t="str">
        <f>'Org structure'!E5</f>
        <v>1.3 - Legal Services</v>
      </c>
      <c r="B9" s="448"/>
      <c r="C9" s="749">
        <v>0</v>
      </c>
      <c r="D9" s="750">
        <v>996</v>
      </c>
      <c r="E9" s="751">
        <v>996</v>
      </c>
      <c r="F9" s="752">
        <v>0</v>
      </c>
      <c r="G9" s="751">
        <v>0</v>
      </c>
      <c r="H9" s="751">
        <f t="shared" si="4"/>
        <v>83</v>
      </c>
      <c r="I9" s="45">
        <f t="shared" si="1"/>
        <v>-83</v>
      </c>
      <c r="J9" s="333">
        <f t="shared" si="2"/>
        <v>-1</v>
      </c>
      <c r="K9" s="753">
        <f t="shared" si="3"/>
        <v>996</v>
      </c>
      <c r="L9" s="427"/>
      <c r="M9" s="39"/>
      <c r="N9" s="39"/>
      <c r="O9" s="39"/>
      <c r="P9" s="39"/>
      <c r="Q9" s="39"/>
      <c r="R9" s="39"/>
      <c r="S9" s="39"/>
      <c r="T9" s="39"/>
      <c r="U9" s="39"/>
      <c r="V9" s="39"/>
      <c r="W9" s="39"/>
    </row>
    <row r="10" spans="1:23" ht="11.25" customHeight="1" x14ac:dyDescent="0.2">
      <c r="A10" s="410" t="str">
        <f>'Org structure'!E6</f>
        <v>1.4 - IDP</v>
      </c>
      <c r="B10" s="448"/>
      <c r="C10" s="749">
        <v>0</v>
      </c>
      <c r="D10" s="750">
        <v>996</v>
      </c>
      <c r="E10" s="751">
        <v>996</v>
      </c>
      <c r="F10" s="752">
        <v>0</v>
      </c>
      <c r="G10" s="751">
        <v>0</v>
      </c>
      <c r="H10" s="751">
        <f t="shared" si="4"/>
        <v>83</v>
      </c>
      <c r="I10" s="45">
        <f t="shared" si="1"/>
        <v>-83</v>
      </c>
      <c r="J10" s="333">
        <f t="shared" si="2"/>
        <v>-1</v>
      </c>
      <c r="K10" s="753">
        <f t="shared" si="3"/>
        <v>996</v>
      </c>
      <c r="L10" s="427"/>
      <c r="M10" s="39"/>
      <c r="N10" s="39"/>
      <c r="O10" s="39"/>
      <c r="P10" s="39"/>
      <c r="Q10" s="39"/>
      <c r="R10" s="39"/>
      <c r="S10" s="39"/>
      <c r="T10" s="39"/>
      <c r="U10" s="39"/>
      <c r="V10" s="39"/>
      <c r="W10" s="39"/>
    </row>
    <row r="11" spans="1:23" ht="11.25" customHeight="1" x14ac:dyDescent="0.2">
      <c r="A11" s="410" t="str">
        <f>'Org structure'!E7</f>
        <v>1.5 - Communications and Marketing</v>
      </c>
      <c r="B11" s="448"/>
      <c r="C11" s="749">
        <v>0</v>
      </c>
      <c r="D11" s="750">
        <v>996</v>
      </c>
      <c r="E11" s="751">
        <v>996</v>
      </c>
      <c r="F11" s="752">
        <v>0</v>
      </c>
      <c r="G11" s="751">
        <v>0</v>
      </c>
      <c r="H11" s="751">
        <f t="shared" si="4"/>
        <v>83</v>
      </c>
      <c r="I11" s="45">
        <f t="shared" si="1"/>
        <v>-83</v>
      </c>
      <c r="J11" s="333">
        <f t="shared" si="2"/>
        <v>-1</v>
      </c>
      <c r="K11" s="753">
        <f t="shared" si="3"/>
        <v>996</v>
      </c>
      <c r="L11" s="427"/>
      <c r="M11" s="39"/>
      <c r="N11" s="39"/>
      <c r="O11" s="39"/>
      <c r="P11" s="39"/>
      <c r="Q11" s="39"/>
      <c r="R11" s="39"/>
      <c r="S11" s="39"/>
      <c r="T11" s="39"/>
      <c r="U11" s="39"/>
      <c r="V11" s="39"/>
      <c r="W11" s="39"/>
    </row>
    <row r="12" spans="1:23" ht="11.25" customHeight="1" x14ac:dyDescent="0.2">
      <c r="A12" s="410" t="str">
        <f>'Org structure'!E8</f>
        <v>1.6 - Project Management Unit</v>
      </c>
      <c r="B12" s="448"/>
      <c r="C12" s="749">
        <v>0</v>
      </c>
      <c r="D12" s="750">
        <v>996</v>
      </c>
      <c r="E12" s="751">
        <v>996</v>
      </c>
      <c r="F12" s="752">
        <v>0</v>
      </c>
      <c r="G12" s="751">
        <v>0</v>
      </c>
      <c r="H12" s="751">
        <f t="shared" si="4"/>
        <v>83</v>
      </c>
      <c r="I12" s="45">
        <f t="shared" si="1"/>
        <v>-83</v>
      </c>
      <c r="J12" s="333">
        <f t="shared" si="2"/>
        <v>-1</v>
      </c>
      <c r="K12" s="753">
        <f t="shared" si="3"/>
        <v>996</v>
      </c>
      <c r="L12" s="427"/>
      <c r="M12" s="39"/>
      <c r="N12" s="39"/>
      <c r="O12" s="39"/>
      <c r="P12" s="39"/>
      <c r="Q12" s="39"/>
      <c r="R12" s="39"/>
      <c r="S12" s="39"/>
      <c r="T12" s="39"/>
      <c r="U12" s="39"/>
      <c r="V12" s="39"/>
      <c r="W12" s="39"/>
    </row>
    <row r="13" spans="1:23" ht="11.25" customHeight="1" x14ac:dyDescent="0.2">
      <c r="A13" s="410" t="str">
        <f>'Org structure'!E9</f>
        <v>1.7 - Performance Management</v>
      </c>
      <c r="B13" s="448"/>
      <c r="C13" s="749">
        <v>0</v>
      </c>
      <c r="D13" s="750">
        <v>996</v>
      </c>
      <c r="E13" s="751">
        <v>996</v>
      </c>
      <c r="F13" s="752">
        <v>0</v>
      </c>
      <c r="G13" s="751">
        <v>0</v>
      </c>
      <c r="H13" s="751">
        <f t="shared" si="4"/>
        <v>83</v>
      </c>
      <c r="I13" s="45">
        <f t="shared" si="1"/>
        <v>-83</v>
      </c>
      <c r="J13" s="333">
        <f t="shared" si="2"/>
        <v>-1</v>
      </c>
      <c r="K13" s="753">
        <f t="shared" si="3"/>
        <v>996</v>
      </c>
      <c r="L13" s="427"/>
      <c r="M13" s="39"/>
      <c r="N13" s="39"/>
      <c r="O13" s="39"/>
      <c r="P13" s="39"/>
      <c r="Q13" s="39"/>
      <c r="R13" s="39"/>
      <c r="S13" s="39"/>
      <c r="T13" s="39"/>
      <c r="U13" s="39"/>
      <c r="V13" s="39"/>
      <c r="W13" s="39"/>
    </row>
    <row r="14" spans="1:23" ht="11.25" customHeight="1" x14ac:dyDescent="0.2">
      <c r="A14" s="410" t="str">
        <f>'Org structure'!E10</f>
        <v>1.8 - Cluster Offices</v>
      </c>
      <c r="B14" s="448"/>
      <c r="C14" s="749">
        <v>0</v>
      </c>
      <c r="D14" s="750">
        <v>996</v>
      </c>
      <c r="E14" s="751">
        <v>996</v>
      </c>
      <c r="F14" s="752">
        <v>0</v>
      </c>
      <c r="G14" s="751">
        <v>0</v>
      </c>
      <c r="H14" s="751">
        <f t="shared" si="4"/>
        <v>83</v>
      </c>
      <c r="I14" s="45">
        <f t="shared" si="1"/>
        <v>-83</v>
      </c>
      <c r="J14" s="333">
        <f t="shared" si="2"/>
        <v>-1</v>
      </c>
      <c r="K14" s="753">
        <f t="shared" si="3"/>
        <v>996</v>
      </c>
      <c r="L14" s="427"/>
      <c r="M14" s="39"/>
      <c r="N14" s="39"/>
      <c r="O14" s="39"/>
      <c r="P14" s="39"/>
      <c r="Q14" s="39"/>
      <c r="R14" s="39"/>
      <c r="S14" s="39"/>
      <c r="T14" s="39"/>
      <c r="U14" s="39"/>
      <c r="V14" s="39"/>
      <c r="W14" s="39"/>
    </row>
    <row r="15" spans="1:23" ht="11.25" customHeight="1" x14ac:dyDescent="0.2">
      <c r="A15" s="410" t="str">
        <f>'Org structure'!E11</f>
        <v>1.9 - Executive Support</v>
      </c>
      <c r="B15" s="448"/>
      <c r="C15" s="749">
        <v>0</v>
      </c>
      <c r="D15" s="750">
        <v>996</v>
      </c>
      <c r="E15" s="751">
        <v>996</v>
      </c>
      <c r="F15" s="752">
        <v>0</v>
      </c>
      <c r="G15" s="751">
        <v>0</v>
      </c>
      <c r="H15" s="751">
        <f t="shared" si="4"/>
        <v>83</v>
      </c>
      <c r="I15" s="45">
        <f t="shared" si="1"/>
        <v>-83</v>
      </c>
      <c r="J15" s="333">
        <f t="shared" si="2"/>
        <v>-1</v>
      </c>
      <c r="K15" s="753">
        <f t="shared" si="3"/>
        <v>996</v>
      </c>
      <c r="L15" s="427"/>
      <c r="M15" s="39"/>
      <c r="N15" s="39"/>
      <c r="O15" s="39"/>
      <c r="P15" s="39"/>
      <c r="Q15" s="39"/>
      <c r="R15" s="39"/>
      <c r="S15" s="39"/>
      <c r="T15" s="39"/>
      <c r="U15" s="39"/>
      <c r="V15" s="39"/>
      <c r="W15" s="39"/>
    </row>
    <row r="16" spans="1:23" ht="11.25" customHeight="1" x14ac:dyDescent="0.2">
      <c r="A16" s="410">
        <f>'Org structure'!E12</f>
        <v>0</v>
      </c>
      <c r="B16" s="448"/>
      <c r="C16" s="749">
        <v>0</v>
      </c>
      <c r="D16" s="750">
        <v>0</v>
      </c>
      <c r="E16" s="751">
        <v>0</v>
      </c>
      <c r="F16" s="752">
        <v>0</v>
      </c>
      <c r="G16" s="751">
        <v>0</v>
      </c>
      <c r="H16" s="751">
        <f t="shared" si="4"/>
        <v>0</v>
      </c>
      <c r="I16" s="45">
        <f t="shared" si="1"/>
        <v>0</v>
      </c>
      <c r="J16" s="333" t="str">
        <f t="shared" si="2"/>
        <v/>
      </c>
      <c r="K16" s="753">
        <f t="shared" si="3"/>
        <v>0</v>
      </c>
      <c r="L16" s="427"/>
      <c r="M16" s="39"/>
      <c r="N16" s="39"/>
      <c r="O16" s="39"/>
      <c r="P16" s="39"/>
      <c r="Q16" s="39"/>
      <c r="R16" s="39"/>
      <c r="S16" s="39"/>
      <c r="T16" s="39"/>
      <c r="U16" s="39"/>
      <c r="V16" s="39"/>
      <c r="W16" s="39"/>
    </row>
    <row r="17" spans="1:23" ht="11.25" customHeight="1" x14ac:dyDescent="0.2">
      <c r="A17" s="469" t="str">
        <f>'Org structure'!A3</f>
        <v>Vote 2 - Municipal Manger Office</v>
      </c>
      <c r="B17" s="443"/>
      <c r="C17" s="506">
        <f>SUM(C18:C27)</f>
        <v>0</v>
      </c>
      <c r="D17" s="447">
        <f t="shared" ref="D17:K17" si="5">SUM(D18:D27)</f>
        <v>2003988</v>
      </c>
      <c r="E17" s="444">
        <f t="shared" si="5"/>
        <v>2003988</v>
      </c>
      <c r="F17" s="446">
        <f t="shared" si="5"/>
        <v>0</v>
      </c>
      <c r="G17" s="444">
        <f t="shared" si="5"/>
        <v>0</v>
      </c>
      <c r="H17" s="444">
        <f t="shared" si="5"/>
        <v>833999</v>
      </c>
      <c r="I17" s="45">
        <f t="shared" si="1"/>
        <v>-833999</v>
      </c>
      <c r="J17" s="333">
        <f t="shared" si="2"/>
        <v>-1</v>
      </c>
      <c r="K17" s="445">
        <f t="shared" si="5"/>
        <v>2003988</v>
      </c>
      <c r="L17" s="427"/>
      <c r="M17" s="39"/>
      <c r="N17" s="39"/>
      <c r="O17" s="39"/>
      <c r="P17" s="39"/>
      <c r="Q17" s="39"/>
      <c r="R17" s="39"/>
      <c r="S17" s="39"/>
      <c r="T17" s="39"/>
      <c r="U17" s="39"/>
      <c r="V17" s="39"/>
      <c r="W17" s="39"/>
    </row>
    <row r="18" spans="1:23" ht="11.25" customHeight="1" x14ac:dyDescent="0.2">
      <c r="A18" s="410" t="str">
        <f>'Org structure'!E14</f>
        <v>2.1 - COUNCIL</v>
      </c>
      <c r="B18" s="448"/>
      <c r="C18" s="749">
        <v>0</v>
      </c>
      <c r="D18" s="750">
        <v>2001000</v>
      </c>
      <c r="E18" s="751">
        <v>2001000</v>
      </c>
      <c r="F18" s="752">
        <v>0</v>
      </c>
      <c r="G18" s="751">
        <v>0</v>
      </c>
      <c r="H18" s="751">
        <f>E18/12*5</f>
        <v>833750</v>
      </c>
      <c r="I18" s="45">
        <f t="shared" si="1"/>
        <v>-833750</v>
      </c>
      <c r="J18" s="333">
        <f t="shared" si="2"/>
        <v>-1</v>
      </c>
      <c r="K18" s="753">
        <f t="shared" ref="K18:K27" si="6">D18</f>
        <v>2001000</v>
      </c>
      <c r="L18" s="427"/>
      <c r="M18" s="39"/>
      <c r="N18" s="39"/>
      <c r="O18" s="39"/>
      <c r="P18" s="39"/>
      <c r="Q18" s="39"/>
      <c r="R18" s="39"/>
      <c r="S18" s="39"/>
      <c r="T18" s="39"/>
      <c r="U18" s="39"/>
      <c r="V18" s="39"/>
      <c r="W18" s="39"/>
    </row>
    <row r="19" spans="1:23" ht="11.25" customHeight="1" x14ac:dyDescent="0.2">
      <c r="A19" s="410" t="str">
        <f>'Org structure'!E15</f>
        <v>2.2 - Municipal Manager</v>
      </c>
      <c r="B19" s="448"/>
      <c r="C19" s="749">
        <v>0</v>
      </c>
      <c r="D19" s="750">
        <v>996</v>
      </c>
      <c r="E19" s="751">
        <v>996</v>
      </c>
      <c r="F19" s="752">
        <v>0</v>
      </c>
      <c r="G19" s="751">
        <v>0</v>
      </c>
      <c r="H19" s="751">
        <f t="shared" ref="H19:H22" si="7">D19/12</f>
        <v>83</v>
      </c>
      <c r="I19" s="45">
        <f t="shared" si="1"/>
        <v>-83</v>
      </c>
      <c r="J19" s="333">
        <f t="shared" si="2"/>
        <v>-1</v>
      </c>
      <c r="K19" s="753">
        <f t="shared" si="6"/>
        <v>996</v>
      </c>
      <c r="L19" s="427"/>
      <c r="M19" s="39"/>
      <c r="N19" s="39"/>
      <c r="O19" s="39"/>
      <c r="P19" s="39"/>
      <c r="Q19" s="39"/>
      <c r="R19" s="39"/>
      <c r="S19" s="39"/>
      <c r="T19" s="39"/>
      <c r="U19" s="39"/>
      <c r="V19" s="39"/>
      <c r="W19" s="39"/>
    </row>
    <row r="20" spans="1:23" ht="11.25" customHeight="1" x14ac:dyDescent="0.2">
      <c r="A20" s="410" t="str">
        <f>'Org structure'!E16</f>
        <v>2.3 - Risk Management</v>
      </c>
      <c r="B20" s="448"/>
      <c r="C20" s="749">
        <v>0</v>
      </c>
      <c r="D20" s="750">
        <v>996</v>
      </c>
      <c r="E20" s="751">
        <v>996</v>
      </c>
      <c r="F20" s="752">
        <v>0</v>
      </c>
      <c r="G20" s="751">
        <v>0</v>
      </c>
      <c r="H20" s="751">
        <f t="shared" si="7"/>
        <v>83</v>
      </c>
      <c r="I20" s="45">
        <f t="shared" si="1"/>
        <v>-83</v>
      </c>
      <c r="J20" s="333">
        <f t="shared" si="2"/>
        <v>-1</v>
      </c>
      <c r="K20" s="753">
        <f t="shared" si="6"/>
        <v>996</v>
      </c>
      <c r="L20" s="427"/>
      <c r="M20" s="39"/>
      <c r="N20" s="39"/>
      <c r="O20" s="39"/>
      <c r="P20" s="39"/>
      <c r="Q20" s="39"/>
      <c r="R20" s="39"/>
      <c r="S20" s="39"/>
      <c r="T20" s="39"/>
      <c r="U20" s="39"/>
      <c r="V20" s="39"/>
      <c r="W20" s="39"/>
    </row>
    <row r="21" spans="1:23" ht="11.25" customHeight="1" x14ac:dyDescent="0.2">
      <c r="A21" s="410" t="str">
        <f>'Org structure'!E17</f>
        <v>2.4 - Internal Audit</v>
      </c>
      <c r="B21" s="448"/>
      <c r="C21" s="749">
        <v>0</v>
      </c>
      <c r="D21" s="750">
        <v>996</v>
      </c>
      <c r="E21" s="751">
        <v>996</v>
      </c>
      <c r="F21" s="752">
        <v>0</v>
      </c>
      <c r="G21" s="751">
        <v>0</v>
      </c>
      <c r="H21" s="751">
        <f t="shared" si="7"/>
        <v>83</v>
      </c>
      <c r="I21" s="45">
        <f t="shared" si="1"/>
        <v>-83</v>
      </c>
      <c r="J21" s="333">
        <f t="shared" si="2"/>
        <v>-1</v>
      </c>
      <c r="K21" s="753">
        <f t="shared" si="6"/>
        <v>996</v>
      </c>
      <c r="L21" s="427"/>
      <c r="M21" s="39"/>
      <c r="N21" s="39"/>
      <c r="O21" s="39"/>
      <c r="P21" s="39"/>
      <c r="Q21" s="39"/>
      <c r="R21" s="39"/>
      <c r="S21" s="39"/>
      <c r="T21" s="39"/>
      <c r="U21" s="39"/>
      <c r="V21" s="39"/>
      <c r="W21" s="39"/>
    </row>
    <row r="22" spans="1:23" ht="11.25" customHeight="1" x14ac:dyDescent="0.2">
      <c r="A22" s="410">
        <f>'Org structure'!E18</f>
        <v>0</v>
      </c>
      <c r="B22" s="448"/>
      <c r="C22" s="749">
        <v>0</v>
      </c>
      <c r="D22" s="750">
        <v>0</v>
      </c>
      <c r="E22" s="751">
        <v>0</v>
      </c>
      <c r="F22" s="752">
        <v>0</v>
      </c>
      <c r="G22" s="751">
        <v>0</v>
      </c>
      <c r="H22" s="751">
        <f t="shared" si="7"/>
        <v>0</v>
      </c>
      <c r="I22" s="45">
        <f t="shared" si="1"/>
        <v>0</v>
      </c>
      <c r="J22" s="333" t="str">
        <f t="shared" si="2"/>
        <v/>
      </c>
      <c r="K22" s="753">
        <f t="shared" si="6"/>
        <v>0</v>
      </c>
      <c r="L22" s="427"/>
      <c r="M22" s="39"/>
      <c r="N22" s="39"/>
      <c r="O22" s="39"/>
      <c r="P22" s="39"/>
      <c r="Q22" s="39"/>
      <c r="R22" s="39"/>
      <c r="S22" s="39"/>
      <c r="T22" s="39"/>
      <c r="U22" s="39"/>
      <c r="V22" s="39"/>
      <c r="W22" s="39"/>
    </row>
    <row r="23" spans="1:23" ht="11.25" customHeight="1" x14ac:dyDescent="0.2">
      <c r="A23" s="410">
        <f>'Org structure'!E19</f>
        <v>0</v>
      </c>
      <c r="B23" s="448"/>
      <c r="C23" s="749">
        <v>0</v>
      </c>
      <c r="D23" s="750">
        <v>0</v>
      </c>
      <c r="E23" s="751">
        <v>0</v>
      </c>
      <c r="F23" s="752">
        <v>0</v>
      </c>
      <c r="G23" s="751">
        <v>0</v>
      </c>
      <c r="H23" s="751">
        <v>0</v>
      </c>
      <c r="I23" s="45">
        <f t="shared" si="1"/>
        <v>0</v>
      </c>
      <c r="J23" s="333" t="str">
        <f t="shared" si="2"/>
        <v/>
      </c>
      <c r="K23" s="753">
        <f t="shared" si="6"/>
        <v>0</v>
      </c>
      <c r="L23" s="427"/>
      <c r="M23" s="39"/>
      <c r="N23" s="39"/>
      <c r="O23" s="39"/>
      <c r="P23" s="39"/>
      <c r="Q23" s="39"/>
      <c r="R23" s="39"/>
      <c r="S23" s="39"/>
      <c r="T23" s="39"/>
      <c r="U23" s="39"/>
      <c r="V23" s="39"/>
      <c r="W23" s="39"/>
    </row>
    <row r="24" spans="1:23" ht="11.25" customHeight="1" x14ac:dyDescent="0.2">
      <c r="A24" s="410">
        <f>'Org structure'!E20</f>
        <v>0</v>
      </c>
      <c r="B24" s="448"/>
      <c r="C24" s="749">
        <v>0</v>
      </c>
      <c r="D24" s="750">
        <v>0</v>
      </c>
      <c r="E24" s="751">
        <v>0</v>
      </c>
      <c r="F24" s="752">
        <v>0</v>
      </c>
      <c r="G24" s="751">
        <v>0</v>
      </c>
      <c r="H24" s="751">
        <v>0</v>
      </c>
      <c r="I24" s="45">
        <f t="shared" si="1"/>
        <v>0</v>
      </c>
      <c r="J24" s="333" t="str">
        <f t="shared" si="2"/>
        <v/>
      </c>
      <c r="K24" s="753">
        <f t="shared" si="6"/>
        <v>0</v>
      </c>
      <c r="L24" s="427"/>
      <c r="M24" s="39"/>
      <c r="N24" s="39"/>
      <c r="O24" s="39"/>
      <c r="P24" s="39"/>
      <c r="Q24" s="39"/>
      <c r="R24" s="39"/>
      <c r="S24" s="39"/>
      <c r="T24" s="39"/>
      <c r="U24" s="39"/>
      <c r="V24" s="39"/>
      <c r="W24" s="39"/>
    </row>
    <row r="25" spans="1:23" ht="11.25" customHeight="1" x14ac:dyDescent="0.2">
      <c r="A25" s="410">
        <f>'Org structure'!E21</f>
        <v>0</v>
      </c>
      <c r="B25" s="448"/>
      <c r="C25" s="749">
        <v>0</v>
      </c>
      <c r="D25" s="750">
        <v>0</v>
      </c>
      <c r="E25" s="751">
        <v>0</v>
      </c>
      <c r="F25" s="752">
        <v>0</v>
      </c>
      <c r="G25" s="751">
        <v>0</v>
      </c>
      <c r="H25" s="751">
        <v>0</v>
      </c>
      <c r="I25" s="45">
        <f t="shared" si="1"/>
        <v>0</v>
      </c>
      <c r="J25" s="333" t="str">
        <f t="shared" si="2"/>
        <v/>
      </c>
      <c r="K25" s="753">
        <f t="shared" si="6"/>
        <v>0</v>
      </c>
      <c r="L25" s="427"/>
      <c r="M25" s="39"/>
      <c r="N25" s="39"/>
      <c r="O25" s="39"/>
      <c r="P25" s="39"/>
      <c r="Q25" s="39"/>
      <c r="R25" s="39"/>
      <c r="S25" s="39"/>
      <c r="T25" s="39"/>
      <c r="U25" s="39"/>
      <c r="V25" s="39"/>
      <c r="W25" s="39"/>
    </row>
    <row r="26" spans="1:23" ht="11.25" customHeight="1" x14ac:dyDescent="0.2">
      <c r="A26" s="410">
        <f>'Org structure'!E22</f>
        <v>0</v>
      </c>
      <c r="B26" s="448"/>
      <c r="C26" s="749">
        <v>0</v>
      </c>
      <c r="D26" s="750">
        <v>0</v>
      </c>
      <c r="E26" s="751">
        <v>0</v>
      </c>
      <c r="F26" s="752">
        <v>0</v>
      </c>
      <c r="G26" s="751">
        <v>0</v>
      </c>
      <c r="H26" s="751">
        <v>0</v>
      </c>
      <c r="I26" s="45">
        <f t="shared" si="1"/>
        <v>0</v>
      </c>
      <c r="J26" s="333" t="str">
        <f t="shared" si="2"/>
        <v/>
      </c>
      <c r="K26" s="753">
        <f t="shared" si="6"/>
        <v>0</v>
      </c>
      <c r="L26" s="427"/>
      <c r="M26" s="39"/>
      <c r="N26" s="39"/>
      <c r="O26" s="39"/>
      <c r="P26" s="39"/>
      <c r="Q26" s="39"/>
      <c r="R26" s="39"/>
      <c r="S26" s="39"/>
      <c r="T26" s="39"/>
      <c r="U26" s="39"/>
      <c r="V26" s="39"/>
      <c r="W26" s="39"/>
    </row>
    <row r="27" spans="1:23" ht="11.25" customHeight="1" x14ac:dyDescent="0.2">
      <c r="A27" s="410">
        <f>'Org structure'!E23</f>
        <v>0</v>
      </c>
      <c r="B27" s="448"/>
      <c r="C27" s="749">
        <v>0</v>
      </c>
      <c r="D27" s="750">
        <v>0</v>
      </c>
      <c r="E27" s="751">
        <v>0</v>
      </c>
      <c r="F27" s="752">
        <v>0</v>
      </c>
      <c r="G27" s="751">
        <v>0</v>
      </c>
      <c r="H27" s="751">
        <v>0</v>
      </c>
      <c r="I27" s="45">
        <f t="shared" si="1"/>
        <v>0</v>
      </c>
      <c r="J27" s="333" t="str">
        <f t="shared" si="2"/>
        <v/>
      </c>
      <c r="K27" s="753">
        <f t="shared" si="6"/>
        <v>0</v>
      </c>
      <c r="L27" s="427"/>
      <c r="M27" s="39"/>
      <c r="N27" s="39"/>
      <c r="O27" s="39"/>
      <c r="P27" s="39"/>
      <c r="Q27" s="39"/>
      <c r="R27" s="39"/>
      <c r="S27" s="39"/>
      <c r="T27" s="39"/>
      <c r="U27" s="39"/>
      <c r="V27" s="39"/>
      <c r="W27" s="39"/>
    </row>
    <row r="28" spans="1:23" ht="11.25" customHeight="1" x14ac:dyDescent="0.2">
      <c r="A28" s="469" t="str">
        <f>'Org structure'!A4</f>
        <v>Vote 3 - Water and Sanitation</v>
      </c>
      <c r="B28" s="443"/>
      <c r="C28" s="506">
        <f t="shared" ref="C28:K28" si="8">SUM(C29:C38)</f>
        <v>367920359.03999996</v>
      </c>
      <c r="D28" s="447">
        <f t="shared" si="8"/>
        <v>444755976</v>
      </c>
      <c r="E28" s="444">
        <f t="shared" si="8"/>
        <v>444755976</v>
      </c>
      <c r="F28" s="446">
        <f t="shared" si="8"/>
        <v>33584777.520000003</v>
      </c>
      <c r="G28" s="446">
        <f t="shared" si="8"/>
        <v>164119976.13999999</v>
      </c>
      <c r="H28" s="446">
        <f t="shared" si="8"/>
        <v>185314990</v>
      </c>
      <c r="I28" s="45">
        <f t="shared" si="1"/>
        <v>-21195013.860000014</v>
      </c>
      <c r="J28" s="333">
        <f t="shared" si="2"/>
        <v>-0.11437290561330206</v>
      </c>
      <c r="K28" s="445">
        <f t="shared" si="8"/>
        <v>444755976</v>
      </c>
      <c r="L28" s="427"/>
      <c r="M28" s="39"/>
      <c r="N28" s="39"/>
      <c r="O28" s="39"/>
      <c r="P28" s="39"/>
      <c r="Q28" s="39"/>
      <c r="R28" s="39"/>
      <c r="S28" s="39"/>
      <c r="T28" s="39"/>
      <c r="U28" s="39"/>
      <c r="V28" s="39"/>
      <c r="W28" s="39"/>
    </row>
    <row r="29" spans="1:23" ht="11.25" customHeight="1" x14ac:dyDescent="0.2">
      <c r="A29" s="410" t="str">
        <f>'Org structure'!E25</f>
        <v>3.1 - Water and sanitation admin</v>
      </c>
      <c r="B29" s="448"/>
      <c r="C29" s="749">
        <v>0</v>
      </c>
      <c r="D29" s="750">
        <v>996</v>
      </c>
      <c r="E29" s="751">
        <v>996</v>
      </c>
      <c r="F29" s="752">
        <v>8471574.4899999984</v>
      </c>
      <c r="G29" s="751">
        <v>42687707.600000001</v>
      </c>
      <c r="H29" s="751">
        <f t="shared" ref="H29:H38" si="9">E29/12*5</f>
        <v>415</v>
      </c>
      <c r="I29" s="259">
        <f t="shared" si="1"/>
        <v>42687292.600000001</v>
      </c>
      <c r="J29" s="333">
        <f t="shared" si="2"/>
        <v>102860.9460240964</v>
      </c>
      <c r="K29" s="753">
        <f t="shared" ref="K29:K37" si="10">D29</f>
        <v>996</v>
      </c>
      <c r="L29" s="427"/>
      <c r="M29" s="39"/>
      <c r="N29" s="39"/>
      <c r="O29" s="39"/>
      <c r="P29" s="39"/>
      <c r="Q29" s="39"/>
      <c r="R29" s="39"/>
      <c r="S29" s="39"/>
      <c r="T29" s="39"/>
      <c r="U29" s="39"/>
      <c r="V29" s="39"/>
      <c r="W29" s="39"/>
    </row>
    <row r="30" spans="1:23" ht="11.25" customHeight="1" x14ac:dyDescent="0.2">
      <c r="A30" s="410" t="str">
        <f>'Org structure'!E26</f>
        <v>3.2 - Reticulation, Distribution and Maitenance, Water Demand and Coservation</v>
      </c>
      <c r="B30" s="448"/>
      <c r="C30" s="749">
        <v>260621321.38999999</v>
      </c>
      <c r="D30" s="750">
        <v>310978980</v>
      </c>
      <c r="E30" s="751">
        <v>310978980</v>
      </c>
      <c r="F30" s="752">
        <v>25113086.740000002</v>
      </c>
      <c r="G30" s="751">
        <v>121555603.5</v>
      </c>
      <c r="H30" s="751">
        <f t="shared" si="9"/>
        <v>129574575</v>
      </c>
      <c r="I30" s="45">
        <f t="shared" si="1"/>
        <v>-8018971.5</v>
      </c>
      <c r="J30" s="333">
        <f t="shared" si="2"/>
        <v>-6.1886921103156231E-2</v>
      </c>
      <c r="K30" s="753">
        <f t="shared" si="10"/>
        <v>310978980</v>
      </c>
      <c r="L30" s="427"/>
      <c r="M30" s="39"/>
      <c r="N30" s="39"/>
      <c r="O30" s="39"/>
      <c r="P30" s="39"/>
      <c r="Q30" s="39"/>
      <c r="R30" s="39"/>
      <c r="S30" s="39"/>
      <c r="T30" s="39"/>
      <c r="U30" s="39"/>
      <c r="V30" s="39"/>
      <c r="W30" s="39"/>
    </row>
    <row r="31" spans="1:23" ht="11.25" customHeight="1" x14ac:dyDescent="0.2">
      <c r="A31" s="410" t="str">
        <f>'Org structure'!E27</f>
        <v>3.3 - Operations, Water and Waste Water, Quality Management and Laboratory Services</v>
      </c>
      <c r="B31" s="448"/>
      <c r="C31" s="749">
        <v>0</v>
      </c>
      <c r="D31" s="750">
        <v>133774008</v>
      </c>
      <c r="E31" s="751">
        <v>133774008</v>
      </c>
      <c r="F31" s="752">
        <v>116.29</v>
      </c>
      <c r="G31" s="751">
        <v>-123334.96</v>
      </c>
      <c r="H31" s="751">
        <f t="shared" si="9"/>
        <v>55739170</v>
      </c>
      <c r="I31" s="45">
        <f t="shared" si="1"/>
        <v>-55862504.960000001</v>
      </c>
      <c r="J31" s="333">
        <f t="shared" si="2"/>
        <v>-1.002212716120459</v>
      </c>
      <c r="K31" s="753">
        <f t="shared" si="10"/>
        <v>133774008</v>
      </c>
      <c r="L31" s="427"/>
      <c r="M31" s="39"/>
      <c r="N31" s="39"/>
      <c r="O31" s="39"/>
      <c r="P31" s="39"/>
      <c r="Q31" s="39"/>
      <c r="R31" s="39"/>
      <c r="S31" s="39"/>
      <c r="T31" s="39"/>
      <c r="U31" s="39"/>
      <c r="V31" s="39"/>
      <c r="W31" s="39"/>
    </row>
    <row r="32" spans="1:23" ht="11.25" customHeight="1" x14ac:dyDescent="0.2">
      <c r="A32" s="410" t="str">
        <f>'Org structure'!E28</f>
        <v>3.4 - Quality Monitoring Services</v>
      </c>
      <c r="B32" s="448"/>
      <c r="C32" s="749">
        <v>107299037.64999999</v>
      </c>
      <c r="D32" s="750">
        <v>996</v>
      </c>
      <c r="E32" s="751">
        <v>996</v>
      </c>
      <c r="F32" s="752">
        <v>0</v>
      </c>
      <c r="G32" s="751">
        <v>0</v>
      </c>
      <c r="H32" s="751">
        <f t="shared" si="9"/>
        <v>415</v>
      </c>
      <c r="I32" s="45">
        <f t="shared" si="1"/>
        <v>-415</v>
      </c>
      <c r="J32" s="333">
        <f t="shared" si="2"/>
        <v>-1</v>
      </c>
      <c r="K32" s="753">
        <f t="shared" si="10"/>
        <v>996</v>
      </c>
      <c r="L32" s="427"/>
      <c r="M32" s="39"/>
      <c r="N32" s="39"/>
      <c r="O32" s="39"/>
      <c r="P32" s="39"/>
      <c r="Q32" s="39"/>
      <c r="R32" s="39"/>
      <c r="S32" s="39"/>
      <c r="T32" s="39"/>
      <c r="U32" s="39"/>
      <c r="V32" s="39"/>
      <c r="W32" s="39"/>
    </row>
    <row r="33" spans="1:23" ht="11.25" customHeight="1" x14ac:dyDescent="0.2">
      <c r="A33" s="410" t="str">
        <f>'Org structure'!E29</f>
        <v>3.5 - Infrastructure Development, Planning and Reticulation Design</v>
      </c>
      <c r="B33" s="448"/>
      <c r="C33" s="749">
        <v>0</v>
      </c>
      <c r="D33" s="750">
        <v>996</v>
      </c>
      <c r="E33" s="751">
        <v>996</v>
      </c>
      <c r="F33" s="752">
        <v>0</v>
      </c>
      <c r="G33" s="751">
        <v>0</v>
      </c>
      <c r="H33" s="751">
        <f t="shared" si="9"/>
        <v>415</v>
      </c>
      <c r="I33" s="45">
        <f t="shared" si="1"/>
        <v>-415</v>
      </c>
      <c r="J33" s="333">
        <f t="shared" si="2"/>
        <v>-1</v>
      </c>
      <c r="K33" s="753">
        <f t="shared" si="10"/>
        <v>996</v>
      </c>
      <c r="L33" s="427"/>
      <c r="M33" s="39"/>
      <c r="N33" s="39"/>
      <c r="O33" s="39"/>
      <c r="P33" s="39"/>
      <c r="Q33" s="39"/>
      <c r="R33" s="39"/>
      <c r="S33" s="39"/>
      <c r="T33" s="39"/>
      <c r="U33" s="39"/>
      <c r="V33" s="39"/>
      <c r="W33" s="39"/>
    </row>
    <row r="34" spans="1:23" ht="11.25" customHeight="1" x14ac:dyDescent="0.2">
      <c r="A34" s="410">
        <f>'Org structure'!E30</f>
        <v>0</v>
      </c>
      <c r="B34" s="448"/>
      <c r="C34" s="749">
        <v>0</v>
      </c>
      <c r="D34" s="750">
        <v>0</v>
      </c>
      <c r="E34" s="751">
        <v>0</v>
      </c>
      <c r="F34" s="752">
        <v>0</v>
      </c>
      <c r="G34" s="751">
        <v>0</v>
      </c>
      <c r="H34" s="751">
        <f t="shared" si="9"/>
        <v>0</v>
      </c>
      <c r="I34" s="45">
        <f t="shared" si="1"/>
        <v>0</v>
      </c>
      <c r="J34" s="333" t="str">
        <f t="shared" si="2"/>
        <v/>
      </c>
      <c r="K34" s="753">
        <f t="shared" si="10"/>
        <v>0</v>
      </c>
      <c r="L34" s="427"/>
      <c r="M34" s="39"/>
      <c r="N34" s="39"/>
      <c r="O34" s="39"/>
      <c r="P34" s="39"/>
      <c r="Q34" s="39"/>
      <c r="R34" s="39"/>
      <c r="S34" s="39"/>
      <c r="T34" s="39"/>
      <c r="U34" s="39"/>
      <c r="V34" s="39"/>
      <c r="W34" s="39"/>
    </row>
    <row r="35" spans="1:23" ht="11.25" customHeight="1" x14ac:dyDescent="0.2">
      <c r="A35" s="410">
        <f>'Org structure'!E31</f>
        <v>0</v>
      </c>
      <c r="B35" s="448"/>
      <c r="C35" s="749">
        <v>0</v>
      </c>
      <c r="D35" s="750">
        <v>0</v>
      </c>
      <c r="E35" s="751">
        <v>0</v>
      </c>
      <c r="F35" s="752">
        <v>0</v>
      </c>
      <c r="G35" s="751">
        <v>0</v>
      </c>
      <c r="H35" s="751">
        <f t="shared" si="9"/>
        <v>0</v>
      </c>
      <c r="I35" s="45">
        <f t="shared" si="1"/>
        <v>0</v>
      </c>
      <c r="J35" s="333" t="str">
        <f t="shared" si="2"/>
        <v/>
      </c>
      <c r="K35" s="753">
        <f t="shared" si="10"/>
        <v>0</v>
      </c>
      <c r="L35" s="427"/>
      <c r="M35" s="39"/>
      <c r="N35" s="39"/>
      <c r="O35" s="39"/>
      <c r="P35" s="39"/>
      <c r="Q35" s="39"/>
      <c r="R35" s="39"/>
      <c r="S35" s="39"/>
      <c r="T35" s="39"/>
      <c r="U35" s="39"/>
      <c r="V35" s="39"/>
      <c r="W35" s="39"/>
    </row>
    <row r="36" spans="1:23" ht="11.25" customHeight="1" x14ac:dyDescent="0.2">
      <c r="A36" s="410">
        <f>'Org structure'!E32</f>
        <v>0</v>
      </c>
      <c r="B36" s="448"/>
      <c r="C36" s="749">
        <v>0</v>
      </c>
      <c r="D36" s="750">
        <v>0</v>
      </c>
      <c r="E36" s="751">
        <v>0</v>
      </c>
      <c r="F36" s="752">
        <v>0</v>
      </c>
      <c r="G36" s="751">
        <v>0</v>
      </c>
      <c r="H36" s="751">
        <f t="shared" si="9"/>
        <v>0</v>
      </c>
      <c r="I36" s="45">
        <f t="shared" si="1"/>
        <v>0</v>
      </c>
      <c r="J36" s="333" t="str">
        <f t="shared" si="2"/>
        <v/>
      </c>
      <c r="K36" s="753">
        <f t="shared" si="10"/>
        <v>0</v>
      </c>
      <c r="L36" s="427"/>
      <c r="M36" s="39"/>
      <c r="N36" s="39"/>
      <c r="O36" s="39"/>
      <c r="P36" s="39"/>
      <c r="Q36" s="39"/>
      <c r="R36" s="39"/>
      <c r="S36" s="39"/>
      <c r="T36" s="39"/>
      <c r="U36" s="39"/>
      <c r="V36" s="39"/>
      <c r="W36" s="39"/>
    </row>
    <row r="37" spans="1:23" ht="11.25" customHeight="1" x14ac:dyDescent="0.2">
      <c r="A37" s="410">
        <f>'Org structure'!E33</f>
        <v>0</v>
      </c>
      <c r="B37" s="448"/>
      <c r="C37" s="749">
        <v>0</v>
      </c>
      <c r="D37" s="750">
        <v>0</v>
      </c>
      <c r="E37" s="751">
        <v>0</v>
      </c>
      <c r="F37" s="752">
        <v>0</v>
      </c>
      <c r="G37" s="751">
        <v>0</v>
      </c>
      <c r="H37" s="751">
        <f t="shared" si="9"/>
        <v>0</v>
      </c>
      <c r="I37" s="45">
        <f t="shared" si="1"/>
        <v>0</v>
      </c>
      <c r="J37" s="333" t="str">
        <f t="shared" si="2"/>
        <v/>
      </c>
      <c r="K37" s="753">
        <f t="shared" si="10"/>
        <v>0</v>
      </c>
      <c r="L37" s="427"/>
      <c r="M37" s="39"/>
      <c r="N37" s="39"/>
      <c r="O37" s="39"/>
      <c r="P37" s="39"/>
      <c r="Q37" s="39"/>
      <c r="R37" s="39"/>
      <c r="S37" s="39"/>
      <c r="T37" s="39"/>
      <c r="U37" s="39"/>
      <c r="V37" s="39"/>
      <c r="W37" s="39"/>
    </row>
    <row r="38" spans="1:23" ht="11.25" customHeight="1" x14ac:dyDescent="0.2">
      <c r="A38" s="410">
        <f>'Org structure'!E34</f>
        <v>0</v>
      </c>
      <c r="B38" s="448"/>
      <c r="C38" s="749">
        <v>0</v>
      </c>
      <c r="D38" s="750">
        <v>0</v>
      </c>
      <c r="E38" s="751">
        <v>0</v>
      </c>
      <c r="F38" s="752">
        <v>0</v>
      </c>
      <c r="G38" s="751">
        <v>0</v>
      </c>
      <c r="H38" s="751">
        <f t="shared" si="9"/>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Energy Services</v>
      </c>
      <c r="B39" s="443"/>
      <c r="C39" s="506">
        <f t="shared" ref="C39:K39" si="11">SUM(C40:C49)</f>
        <v>956100536.37</v>
      </c>
      <c r="D39" s="447">
        <f t="shared" si="11"/>
        <v>1192843992</v>
      </c>
      <c r="E39" s="444">
        <f t="shared" si="11"/>
        <v>1192843992</v>
      </c>
      <c r="F39" s="446">
        <f t="shared" si="11"/>
        <v>70290721.210000008</v>
      </c>
      <c r="G39" s="444">
        <f t="shared" si="11"/>
        <v>428919089.12999994</v>
      </c>
      <c r="H39" s="444">
        <f t="shared" si="11"/>
        <v>497018330</v>
      </c>
      <c r="I39" s="45">
        <f t="shared" si="1"/>
        <v>-68099240.870000064</v>
      </c>
      <c r="J39" s="333">
        <f t="shared" si="2"/>
        <v>-0.13701555206223492</v>
      </c>
      <c r="K39" s="445">
        <f t="shared" si="11"/>
        <v>1192843992</v>
      </c>
      <c r="L39" s="427"/>
      <c r="M39" s="39"/>
      <c r="N39" s="39"/>
      <c r="O39" s="39"/>
      <c r="P39" s="39"/>
      <c r="Q39" s="39"/>
      <c r="R39" s="39"/>
      <c r="S39" s="39"/>
      <c r="T39" s="39"/>
      <c r="U39" s="39"/>
      <c r="V39" s="39"/>
      <c r="W39" s="39"/>
    </row>
    <row r="40" spans="1:23" ht="11.25" customHeight="1" x14ac:dyDescent="0.2">
      <c r="A40" s="410" t="str">
        <f>'Org structure'!E36</f>
        <v>4.1 - Energy Services Admin</v>
      </c>
      <c r="B40" s="448"/>
      <c r="C40" s="749">
        <v>0</v>
      </c>
      <c r="D40" s="750">
        <v>996</v>
      </c>
      <c r="E40" s="751">
        <v>996</v>
      </c>
      <c r="F40" s="752">
        <v>70290721.210000008</v>
      </c>
      <c r="G40" s="751">
        <v>428917205.12999994</v>
      </c>
      <c r="H40" s="751">
        <f t="shared" ref="H40:H49" si="12">E40/12*5</f>
        <v>415</v>
      </c>
      <c r="I40" s="45">
        <f t="shared" si="1"/>
        <v>428916790.12999994</v>
      </c>
      <c r="J40" s="333">
        <f t="shared" si="2"/>
        <v>1033534.4340481926</v>
      </c>
      <c r="K40" s="753">
        <f>D40</f>
        <v>996</v>
      </c>
      <c r="L40" s="427"/>
      <c r="M40" s="39"/>
      <c r="N40" s="39"/>
      <c r="O40" s="39"/>
      <c r="P40" s="39"/>
      <c r="Q40" s="39"/>
      <c r="R40" s="39"/>
      <c r="S40" s="39"/>
      <c r="T40" s="39"/>
      <c r="U40" s="39"/>
      <c r="V40" s="39"/>
      <c r="W40" s="39"/>
    </row>
    <row r="41" spans="1:23" ht="11.25" customHeight="1" x14ac:dyDescent="0.2">
      <c r="A41" s="410" t="str">
        <f>'Org structure'!E37</f>
        <v>4.2 - Energy Operation and Maintenance Admininstration</v>
      </c>
      <c r="B41" s="448"/>
      <c r="C41" s="749">
        <v>0</v>
      </c>
      <c r="D41" s="750">
        <v>1192840008</v>
      </c>
      <c r="E41" s="751">
        <v>1192840008</v>
      </c>
      <c r="F41" s="752">
        <v>0</v>
      </c>
      <c r="G41" s="751">
        <v>1884</v>
      </c>
      <c r="H41" s="751">
        <f t="shared" si="12"/>
        <v>497016670</v>
      </c>
      <c r="I41" s="45">
        <f t="shared" si="1"/>
        <v>-497014786</v>
      </c>
      <c r="J41" s="333">
        <f t="shared" si="2"/>
        <v>-0.99999620938267519</v>
      </c>
      <c r="K41" s="753">
        <f t="shared" ref="K41:K49" si="13">D41</f>
        <v>1192840008</v>
      </c>
      <c r="L41" s="427"/>
      <c r="M41" s="39"/>
      <c r="N41" s="39"/>
      <c r="O41" s="39"/>
      <c r="P41" s="39"/>
      <c r="Q41" s="39"/>
      <c r="R41" s="39"/>
      <c r="S41" s="39"/>
      <c r="T41" s="39"/>
      <c r="U41" s="39"/>
      <c r="V41" s="39"/>
      <c r="W41" s="39"/>
    </row>
    <row r="42" spans="1:23" ht="11.25" customHeight="1" x14ac:dyDescent="0.2">
      <c r="A42" s="410" t="str">
        <f>'Org structure'!E38</f>
        <v>4.3 - Energy Services: 66KV Operations, Maitenance: Scada and Protection</v>
      </c>
      <c r="B42" s="448"/>
      <c r="C42" s="749">
        <v>0</v>
      </c>
      <c r="D42" s="750">
        <v>996</v>
      </c>
      <c r="E42" s="751">
        <v>996</v>
      </c>
      <c r="F42" s="752">
        <v>0</v>
      </c>
      <c r="G42" s="751">
        <v>0</v>
      </c>
      <c r="H42" s="751">
        <f t="shared" si="12"/>
        <v>415</v>
      </c>
      <c r="I42" s="45">
        <f t="shared" si="1"/>
        <v>-415</v>
      </c>
      <c r="J42" s="333">
        <f t="shared" si="2"/>
        <v>-1</v>
      </c>
      <c r="K42" s="753">
        <f t="shared" si="13"/>
        <v>996</v>
      </c>
      <c r="L42" s="427"/>
      <c r="M42" s="39"/>
      <c r="N42" s="39"/>
      <c r="O42" s="39"/>
      <c r="P42" s="39"/>
      <c r="Q42" s="39"/>
      <c r="R42" s="39"/>
      <c r="S42" s="39"/>
      <c r="T42" s="39"/>
      <c r="U42" s="39"/>
      <c r="V42" s="39"/>
      <c r="W42" s="39"/>
    </row>
    <row r="43" spans="1:23" ht="11.25" customHeight="1" x14ac:dyDescent="0.2">
      <c r="A43" s="410" t="str">
        <f>'Org structure'!E39</f>
        <v>4.4 - Energy Services: 11KV Operations, Maitenance and Construction</v>
      </c>
      <c r="B43" s="448"/>
      <c r="C43" s="749">
        <v>0</v>
      </c>
      <c r="D43" s="750">
        <v>996</v>
      </c>
      <c r="E43" s="751">
        <v>996</v>
      </c>
      <c r="F43" s="752">
        <v>0</v>
      </c>
      <c r="G43" s="751">
        <v>0</v>
      </c>
      <c r="H43" s="751">
        <f t="shared" si="12"/>
        <v>415</v>
      </c>
      <c r="I43" s="45">
        <f t="shared" si="1"/>
        <v>-415</v>
      </c>
      <c r="J43" s="333">
        <f t="shared" si="2"/>
        <v>-1</v>
      </c>
      <c r="K43" s="753">
        <f t="shared" si="13"/>
        <v>996</v>
      </c>
      <c r="L43" s="427"/>
      <c r="M43" s="39"/>
      <c r="N43" s="39"/>
      <c r="O43" s="39"/>
      <c r="P43" s="39"/>
      <c r="Q43" s="39"/>
      <c r="R43" s="39"/>
      <c r="S43" s="39"/>
      <c r="T43" s="39"/>
      <c r="U43" s="39"/>
      <c r="V43" s="39"/>
      <c r="W43" s="39"/>
    </row>
    <row r="44" spans="1:23" ht="11.25" customHeight="1" x14ac:dyDescent="0.2">
      <c r="A44" s="410" t="str">
        <f>'Org structure'!E40</f>
        <v>4.5 - Energy Services: Planning and development</v>
      </c>
      <c r="B44" s="448"/>
      <c r="C44" s="749">
        <v>956100536.37</v>
      </c>
      <c r="D44" s="750">
        <v>996</v>
      </c>
      <c r="E44" s="751">
        <v>996</v>
      </c>
      <c r="F44" s="752">
        <v>0</v>
      </c>
      <c r="G44" s="751">
        <v>0</v>
      </c>
      <c r="H44" s="751">
        <f t="shared" si="12"/>
        <v>415</v>
      </c>
      <c r="I44" s="45">
        <f t="shared" si="1"/>
        <v>-415</v>
      </c>
      <c r="J44" s="333">
        <f t="shared" si="2"/>
        <v>-1</v>
      </c>
      <c r="K44" s="753">
        <f t="shared" si="13"/>
        <v>996</v>
      </c>
      <c r="L44" s="427"/>
      <c r="M44" s="39"/>
      <c r="N44" s="39"/>
      <c r="O44" s="39"/>
      <c r="P44" s="39"/>
      <c r="Q44" s="39"/>
      <c r="R44" s="39"/>
      <c r="S44" s="39"/>
      <c r="T44" s="39"/>
      <c r="U44" s="39"/>
      <c r="V44" s="39"/>
      <c r="W44" s="39"/>
    </row>
    <row r="45" spans="1:23" ht="11.25" customHeight="1" x14ac:dyDescent="0.2">
      <c r="A45" s="410" t="str">
        <f>'Org structure'!E41</f>
        <v xml:space="preserve">4.6 - </v>
      </c>
      <c r="B45" s="448"/>
      <c r="C45" s="749">
        <v>0</v>
      </c>
      <c r="D45" s="750">
        <v>0</v>
      </c>
      <c r="E45" s="751">
        <v>0</v>
      </c>
      <c r="F45" s="752">
        <v>0</v>
      </c>
      <c r="G45" s="751">
        <v>0</v>
      </c>
      <c r="H45" s="751">
        <f t="shared" si="12"/>
        <v>0</v>
      </c>
      <c r="I45" s="45">
        <f t="shared" si="1"/>
        <v>0</v>
      </c>
      <c r="J45" s="333" t="str">
        <f t="shared" si="2"/>
        <v/>
      </c>
      <c r="K45" s="753">
        <f t="shared" si="13"/>
        <v>0</v>
      </c>
      <c r="L45" s="427"/>
      <c r="M45" s="39"/>
      <c r="N45" s="39"/>
      <c r="O45" s="39"/>
      <c r="P45" s="39"/>
      <c r="Q45" s="39"/>
      <c r="R45" s="39"/>
      <c r="S45" s="39"/>
      <c r="T45" s="39"/>
      <c r="U45" s="39"/>
      <c r="V45" s="39"/>
      <c r="W45" s="39"/>
    </row>
    <row r="46" spans="1:23" ht="11.25" customHeight="1" x14ac:dyDescent="0.2">
      <c r="A46" s="410" t="str">
        <f>'Org structure'!E42</f>
        <v xml:space="preserve">4.7 - </v>
      </c>
      <c r="B46" s="448"/>
      <c r="C46" s="749">
        <v>0</v>
      </c>
      <c r="D46" s="750">
        <v>0</v>
      </c>
      <c r="E46" s="751">
        <v>0</v>
      </c>
      <c r="F46" s="752">
        <v>0</v>
      </c>
      <c r="G46" s="751">
        <v>0</v>
      </c>
      <c r="H46" s="751">
        <f t="shared" si="12"/>
        <v>0</v>
      </c>
      <c r="I46" s="45">
        <f t="shared" si="1"/>
        <v>0</v>
      </c>
      <c r="J46" s="333" t="str">
        <f t="shared" si="2"/>
        <v/>
      </c>
      <c r="K46" s="753">
        <f t="shared" si="13"/>
        <v>0</v>
      </c>
      <c r="L46" s="427"/>
      <c r="M46" s="39"/>
      <c r="N46" s="39"/>
      <c r="O46" s="39"/>
      <c r="P46" s="39"/>
      <c r="Q46" s="39"/>
      <c r="R46" s="39"/>
      <c r="S46" s="39"/>
      <c r="T46" s="39"/>
      <c r="U46" s="39"/>
      <c r="V46" s="39"/>
      <c r="W46" s="39"/>
    </row>
    <row r="47" spans="1:23" ht="11.25" customHeight="1" x14ac:dyDescent="0.2">
      <c r="A47" s="410" t="str">
        <f>'Org structure'!E43</f>
        <v xml:space="preserve">4.8 - </v>
      </c>
      <c r="B47" s="448"/>
      <c r="C47" s="749">
        <v>0</v>
      </c>
      <c r="D47" s="750">
        <v>0</v>
      </c>
      <c r="E47" s="751">
        <v>0</v>
      </c>
      <c r="F47" s="752">
        <v>0</v>
      </c>
      <c r="G47" s="751">
        <v>0</v>
      </c>
      <c r="H47" s="751">
        <f t="shared" si="12"/>
        <v>0</v>
      </c>
      <c r="I47" s="45">
        <f t="shared" si="1"/>
        <v>0</v>
      </c>
      <c r="J47" s="333" t="str">
        <f t="shared" si="2"/>
        <v/>
      </c>
      <c r="K47" s="753">
        <f t="shared" si="13"/>
        <v>0</v>
      </c>
      <c r="L47" s="427"/>
      <c r="M47" s="39"/>
      <c r="N47" s="39"/>
      <c r="O47" s="39"/>
      <c r="P47" s="39"/>
      <c r="Q47" s="39"/>
      <c r="R47" s="39"/>
      <c r="S47" s="39"/>
      <c r="T47" s="39"/>
      <c r="U47" s="39"/>
      <c r="V47" s="39"/>
      <c r="W47" s="39"/>
    </row>
    <row r="48" spans="1:23" ht="11.25" customHeight="1" x14ac:dyDescent="0.2">
      <c r="A48" s="410" t="str">
        <f>'Org structure'!E44</f>
        <v xml:space="preserve">4.9 - </v>
      </c>
      <c r="B48" s="448"/>
      <c r="C48" s="749">
        <v>0</v>
      </c>
      <c r="D48" s="750">
        <v>0</v>
      </c>
      <c r="E48" s="751">
        <v>0</v>
      </c>
      <c r="F48" s="752">
        <v>0</v>
      </c>
      <c r="G48" s="751">
        <v>0</v>
      </c>
      <c r="H48" s="751">
        <f t="shared" si="12"/>
        <v>0</v>
      </c>
      <c r="I48" s="45">
        <f t="shared" si="1"/>
        <v>0</v>
      </c>
      <c r="J48" s="333" t="str">
        <f t="shared" si="2"/>
        <v/>
      </c>
      <c r="K48" s="753">
        <f t="shared" si="13"/>
        <v>0</v>
      </c>
      <c r="L48" s="427"/>
      <c r="M48" s="39"/>
      <c r="N48" s="39"/>
      <c r="O48" s="39"/>
      <c r="P48" s="39"/>
      <c r="Q48" s="39"/>
      <c r="R48" s="39"/>
      <c r="S48" s="39"/>
      <c r="T48" s="39"/>
      <c r="U48" s="39"/>
      <c r="V48" s="39"/>
      <c r="W48" s="39"/>
    </row>
    <row r="49" spans="1:23" ht="11.25" customHeight="1" x14ac:dyDescent="0.2">
      <c r="A49" s="410" t="str">
        <f>'Org structure'!E45</f>
        <v xml:space="preserve">4.10 - </v>
      </c>
      <c r="B49" s="448"/>
      <c r="C49" s="749">
        <v>0</v>
      </c>
      <c r="D49" s="750">
        <v>0</v>
      </c>
      <c r="E49" s="751">
        <v>0</v>
      </c>
      <c r="F49" s="752">
        <v>0</v>
      </c>
      <c r="G49" s="751">
        <v>0</v>
      </c>
      <c r="H49" s="751">
        <f t="shared" si="12"/>
        <v>0</v>
      </c>
      <c r="I49" s="45">
        <f t="shared" si="1"/>
        <v>0</v>
      </c>
      <c r="J49" s="333" t="str">
        <f t="shared" si="2"/>
        <v/>
      </c>
      <c r="K49" s="753">
        <f t="shared" si="13"/>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110501047.55000001</v>
      </c>
      <c r="D50" s="447">
        <f t="shared" ref="D50:K50" si="14">SUM(D51:D60)</f>
        <v>145662912</v>
      </c>
      <c r="E50" s="444">
        <f t="shared" si="14"/>
        <v>145662912</v>
      </c>
      <c r="F50" s="446">
        <f t="shared" si="14"/>
        <v>10258842.109999999</v>
      </c>
      <c r="G50" s="444">
        <f t="shared" si="14"/>
        <v>50148991.479999997</v>
      </c>
      <c r="H50" s="444">
        <f t="shared" si="14"/>
        <v>60692880</v>
      </c>
      <c r="I50" s="45">
        <f t="shared" si="1"/>
        <v>-10543888.520000003</v>
      </c>
      <c r="J50" s="333">
        <f t="shared" si="2"/>
        <v>-0.17372529561951919</v>
      </c>
      <c r="K50" s="445">
        <f t="shared" si="14"/>
        <v>145662912</v>
      </c>
      <c r="L50" s="427"/>
      <c r="M50" s="39"/>
      <c r="N50" s="39"/>
      <c r="O50" s="39"/>
      <c r="P50" s="39"/>
      <c r="Q50" s="39"/>
      <c r="R50" s="39"/>
      <c r="S50" s="39"/>
      <c r="T50" s="39"/>
      <c r="U50" s="39"/>
      <c r="V50" s="39"/>
      <c r="W50" s="39"/>
    </row>
    <row r="51" spans="1:23" ht="11.25" customHeight="1" x14ac:dyDescent="0.2">
      <c r="A51" s="410" t="str">
        <f>'Org structure'!E47</f>
        <v>5.1 - Directorate Community Services</v>
      </c>
      <c r="B51" s="448"/>
      <c r="C51" s="749">
        <v>0</v>
      </c>
      <c r="D51" s="750">
        <v>0</v>
      </c>
      <c r="E51" s="751">
        <v>0</v>
      </c>
      <c r="F51" s="752">
        <v>0</v>
      </c>
      <c r="G51" s="751">
        <v>0</v>
      </c>
      <c r="H51" s="751">
        <f t="shared" ref="H51:H60" si="15">E51/12*5</f>
        <v>0</v>
      </c>
      <c r="I51" s="45">
        <f t="shared" si="1"/>
        <v>0</v>
      </c>
      <c r="J51" s="333" t="str">
        <f t="shared" si="2"/>
        <v/>
      </c>
      <c r="K51" s="753">
        <f>D51</f>
        <v>0</v>
      </c>
      <c r="L51" s="427"/>
      <c r="M51" s="39"/>
      <c r="N51" s="39"/>
      <c r="O51" s="39"/>
      <c r="P51" s="39"/>
      <c r="Q51" s="39"/>
      <c r="R51" s="39"/>
      <c r="S51" s="39"/>
      <c r="T51" s="39"/>
      <c r="U51" s="39"/>
      <c r="V51" s="39"/>
      <c r="W51" s="39"/>
    </row>
    <row r="52" spans="1:23" ht="11.25" customHeight="1" x14ac:dyDescent="0.2">
      <c r="A52" s="410" t="str">
        <f>'Org structure'!E48</f>
        <v>5.2 - Sport and Recreation</v>
      </c>
      <c r="B52" s="448"/>
      <c r="C52" s="749">
        <v>20100298.969999999</v>
      </c>
      <c r="D52" s="750">
        <v>11092956</v>
      </c>
      <c r="E52" s="751">
        <v>11092956</v>
      </c>
      <c r="F52" s="752">
        <v>667929.78</v>
      </c>
      <c r="G52" s="751">
        <v>1919699.92</v>
      </c>
      <c r="H52" s="751">
        <f t="shared" si="15"/>
        <v>4622065</v>
      </c>
      <c r="I52" s="45">
        <f t="shared" si="1"/>
        <v>-2702365.08</v>
      </c>
      <c r="J52" s="333">
        <f t="shared" si="2"/>
        <v>-0.58466617842890567</v>
      </c>
      <c r="K52" s="753">
        <f t="shared" ref="K52:K60" si="16">D52</f>
        <v>11092956</v>
      </c>
      <c r="L52" s="427"/>
      <c r="M52" s="39"/>
      <c r="N52" s="39"/>
      <c r="O52" s="39"/>
      <c r="P52" s="39"/>
      <c r="Q52" s="39"/>
      <c r="R52" s="39"/>
      <c r="S52" s="39"/>
      <c r="T52" s="39"/>
      <c r="U52" s="39"/>
      <c r="V52" s="39"/>
      <c r="W52" s="39"/>
    </row>
    <row r="53" spans="1:23" ht="11.25" customHeight="1" x14ac:dyDescent="0.2">
      <c r="A53" s="410" t="str">
        <f>'Org structure'!E49</f>
        <v>5.3 - Sport and Facilities Maintenance</v>
      </c>
      <c r="B53" s="448"/>
      <c r="C53" s="749">
        <v>0</v>
      </c>
      <c r="D53" s="750">
        <v>1992</v>
      </c>
      <c r="E53" s="751">
        <v>1992</v>
      </c>
      <c r="F53" s="752">
        <v>0</v>
      </c>
      <c r="G53" s="751">
        <v>0</v>
      </c>
      <c r="H53" s="751">
        <f t="shared" si="15"/>
        <v>830</v>
      </c>
      <c r="I53" s="45">
        <f t="shared" si="1"/>
        <v>-830</v>
      </c>
      <c r="J53" s="333">
        <f t="shared" si="2"/>
        <v>-1</v>
      </c>
      <c r="K53" s="753">
        <f t="shared" si="16"/>
        <v>1992</v>
      </c>
      <c r="L53" s="427"/>
      <c r="M53" s="39"/>
      <c r="N53" s="39"/>
      <c r="O53" s="39"/>
      <c r="P53" s="39"/>
      <c r="Q53" s="39"/>
      <c r="R53" s="39"/>
      <c r="S53" s="39"/>
      <c r="T53" s="39"/>
      <c r="U53" s="39"/>
      <c r="V53" s="39"/>
      <c r="W53" s="39"/>
    </row>
    <row r="54" spans="1:23" ht="11.25" customHeight="1" x14ac:dyDescent="0.2">
      <c r="A54" s="410" t="str">
        <f>'Org structure'!E50</f>
        <v>5.4 - Swimming Pools</v>
      </c>
      <c r="B54" s="448"/>
      <c r="C54" s="749">
        <v>0</v>
      </c>
      <c r="D54" s="750">
        <v>573000</v>
      </c>
      <c r="E54" s="751">
        <v>573000</v>
      </c>
      <c r="F54" s="752">
        <v>0</v>
      </c>
      <c r="G54" s="751">
        <v>0</v>
      </c>
      <c r="H54" s="751">
        <f t="shared" si="15"/>
        <v>238750</v>
      </c>
      <c r="I54" s="45">
        <f t="shared" si="1"/>
        <v>-238750</v>
      </c>
      <c r="J54" s="333">
        <f t="shared" si="2"/>
        <v>-1</v>
      </c>
      <c r="K54" s="753">
        <f t="shared" si="16"/>
        <v>573000</v>
      </c>
      <c r="L54" s="427"/>
      <c r="M54" s="39"/>
      <c r="N54" s="39"/>
      <c r="O54" s="39"/>
      <c r="P54" s="39"/>
      <c r="Q54" s="39"/>
      <c r="R54" s="39"/>
      <c r="S54" s="39"/>
      <c r="T54" s="39"/>
      <c r="U54" s="39"/>
      <c r="V54" s="39"/>
      <c r="W54" s="39"/>
    </row>
    <row r="55" spans="1:23" ht="11.25" customHeight="1" x14ac:dyDescent="0.2">
      <c r="A55" s="410" t="str">
        <f>'Org structure'!E51</f>
        <v>5.5 - Museums and Art Galleries</v>
      </c>
      <c r="B55" s="448"/>
      <c r="C55" s="749">
        <v>88345.44</v>
      </c>
      <c r="D55" s="750">
        <v>210996</v>
      </c>
      <c r="E55" s="751">
        <v>210996</v>
      </c>
      <c r="F55" s="752">
        <v>0</v>
      </c>
      <c r="G55" s="751">
        <v>0</v>
      </c>
      <c r="H55" s="751">
        <f t="shared" si="15"/>
        <v>87915</v>
      </c>
      <c r="I55" s="45">
        <f t="shared" si="1"/>
        <v>-87915</v>
      </c>
      <c r="J55" s="333">
        <f t="shared" si="2"/>
        <v>-1</v>
      </c>
      <c r="K55" s="753">
        <f t="shared" si="16"/>
        <v>210996</v>
      </c>
      <c r="L55" s="427"/>
      <c r="M55" s="39"/>
      <c r="N55" s="39"/>
      <c r="O55" s="39"/>
      <c r="P55" s="39"/>
      <c r="Q55" s="39"/>
      <c r="R55" s="39"/>
      <c r="S55" s="39"/>
      <c r="T55" s="39"/>
      <c r="U55" s="39"/>
      <c r="V55" s="39"/>
      <c r="W55" s="39"/>
    </row>
    <row r="56" spans="1:23" ht="11.25" customHeight="1" x14ac:dyDescent="0.2">
      <c r="A56" s="410" t="str">
        <f>'Org structure'!E52</f>
        <v>5.6 - Libraries and Archives</v>
      </c>
      <c r="B56" s="448"/>
      <c r="C56" s="749">
        <v>145529.10999999999</v>
      </c>
      <c r="D56" s="750">
        <v>359988</v>
      </c>
      <c r="E56" s="751">
        <v>359988</v>
      </c>
      <c r="F56" s="752">
        <v>0</v>
      </c>
      <c r="G56" s="751">
        <v>0</v>
      </c>
      <c r="H56" s="751">
        <f t="shared" si="15"/>
        <v>149995</v>
      </c>
      <c r="I56" s="45">
        <f t="shared" si="1"/>
        <v>-149995</v>
      </c>
      <c r="J56" s="333">
        <f t="shared" si="2"/>
        <v>-1</v>
      </c>
      <c r="K56" s="753">
        <f t="shared" si="16"/>
        <v>359988</v>
      </c>
      <c r="L56" s="427"/>
      <c r="M56" s="39"/>
      <c r="N56" s="39"/>
      <c r="O56" s="39"/>
      <c r="P56" s="39"/>
      <c r="Q56" s="39"/>
      <c r="R56" s="39"/>
      <c r="S56" s="39"/>
      <c r="T56" s="39"/>
      <c r="U56" s="39"/>
      <c r="V56" s="39"/>
      <c r="W56" s="39"/>
    </row>
    <row r="57" spans="1:23" ht="11.25" customHeight="1" x14ac:dyDescent="0.2">
      <c r="A57" s="410" t="str">
        <f>'Org structure'!E53</f>
        <v>5.7 - Culture Services</v>
      </c>
      <c r="B57" s="448"/>
      <c r="C57" s="749">
        <v>0</v>
      </c>
      <c r="D57" s="750">
        <v>1992</v>
      </c>
      <c r="E57" s="751">
        <v>1992</v>
      </c>
      <c r="F57" s="752">
        <v>4267.83</v>
      </c>
      <c r="G57" s="751">
        <v>89233.919999999998</v>
      </c>
      <c r="H57" s="751">
        <f t="shared" si="15"/>
        <v>830</v>
      </c>
      <c r="I57" s="45">
        <f t="shared" si="1"/>
        <v>88403.92</v>
      </c>
      <c r="J57" s="333">
        <f t="shared" si="2"/>
        <v>106.5107469879518</v>
      </c>
      <c r="K57" s="753">
        <f t="shared" si="16"/>
        <v>1992</v>
      </c>
      <c r="L57" s="427"/>
      <c r="M57" s="39"/>
      <c r="N57" s="39"/>
      <c r="O57" s="39"/>
      <c r="P57" s="39"/>
      <c r="Q57" s="39"/>
      <c r="R57" s="39"/>
      <c r="S57" s="39"/>
      <c r="T57" s="39"/>
      <c r="U57" s="39"/>
      <c r="V57" s="39"/>
      <c r="W57" s="39"/>
    </row>
    <row r="58" spans="1:23" ht="11.25" customHeight="1" x14ac:dyDescent="0.2">
      <c r="A58" s="410" t="str">
        <f>'Org structure'!E54</f>
        <v>5.8 - Cemetaries</v>
      </c>
      <c r="B58" s="448"/>
      <c r="C58" s="749">
        <v>1048737.02</v>
      </c>
      <c r="D58" s="750">
        <v>1125996</v>
      </c>
      <c r="E58" s="751">
        <v>1125996</v>
      </c>
      <c r="F58" s="752">
        <v>2284.31</v>
      </c>
      <c r="G58" s="751">
        <v>141429.53</v>
      </c>
      <c r="H58" s="751">
        <f t="shared" si="15"/>
        <v>469165</v>
      </c>
      <c r="I58" s="45">
        <f t="shared" si="1"/>
        <v>-327735.46999999997</v>
      </c>
      <c r="J58" s="333">
        <f t="shared" si="2"/>
        <v>-0.69855055257745136</v>
      </c>
      <c r="K58" s="753">
        <f t="shared" si="16"/>
        <v>1125996</v>
      </c>
      <c r="L58" s="427"/>
      <c r="M58" s="39"/>
      <c r="N58" s="39"/>
      <c r="O58" s="39"/>
      <c r="P58" s="39"/>
      <c r="Q58" s="39"/>
      <c r="R58" s="39"/>
      <c r="S58" s="39"/>
      <c r="T58" s="39"/>
      <c r="U58" s="39"/>
      <c r="V58" s="39"/>
      <c r="W58" s="39"/>
    </row>
    <row r="59" spans="1:23" ht="11.25" customHeight="1" x14ac:dyDescent="0.2">
      <c r="A59" s="410" t="str">
        <f>'Org structure'!E55</f>
        <v>5.9 - Waste Management</v>
      </c>
      <c r="B59" s="448"/>
      <c r="C59" s="749">
        <v>107135918.36000001</v>
      </c>
      <c r="D59" s="750">
        <v>128630988</v>
      </c>
      <c r="E59" s="751">
        <v>128630988</v>
      </c>
      <c r="F59" s="752">
        <v>0</v>
      </c>
      <c r="G59" s="751">
        <v>0</v>
      </c>
      <c r="H59" s="751">
        <f t="shared" si="15"/>
        <v>53596245</v>
      </c>
      <c r="I59" s="45">
        <f t="shared" si="1"/>
        <v>-53596245</v>
      </c>
      <c r="J59" s="333">
        <f t="shared" si="2"/>
        <v>-1</v>
      </c>
      <c r="K59" s="753">
        <f t="shared" si="16"/>
        <v>128630988</v>
      </c>
      <c r="L59" s="427"/>
      <c r="M59" s="39"/>
      <c r="N59" s="39"/>
      <c r="O59" s="39"/>
      <c r="P59" s="39"/>
      <c r="Q59" s="39"/>
      <c r="R59" s="39"/>
      <c r="S59" s="39"/>
      <c r="T59" s="39"/>
      <c r="U59" s="39"/>
      <c r="V59" s="39"/>
      <c r="W59" s="39"/>
    </row>
    <row r="60" spans="1:23" ht="11.25" customHeight="1" x14ac:dyDescent="0.2">
      <c r="A60" s="410" t="str">
        <f>'Org structure'!E56</f>
        <v>5.10 - Other Community Services</v>
      </c>
      <c r="B60" s="448"/>
      <c r="C60" s="749">
        <v>-18017781.350000001</v>
      </c>
      <c r="D60" s="750">
        <v>3665004</v>
      </c>
      <c r="E60" s="751">
        <v>3665004</v>
      </c>
      <c r="F60" s="752">
        <v>9584360.1899999995</v>
      </c>
      <c r="G60" s="751">
        <v>47998628.109999999</v>
      </c>
      <c r="H60" s="751">
        <f t="shared" si="15"/>
        <v>1527085</v>
      </c>
      <c r="I60" s="45">
        <f t="shared" si="1"/>
        <v>46471543.109999999</v>
      </c>
      <c r="J60" s="333">
        <f t="shared" si="2"/>
        <v>30.431536626972303</v>
      </c>
      <c r="K60" s="753">
        <f t="shared" si="16"/>
        <v>3665004</v>
      </c>
      <c r="L60" s="427"/>
      <c r="M60" s="39"/>
      <c r="N60" s="39"/>
      <c r="O60" s="39"/>
      <c r="P60" s="39"/>
      <c r="Q60" s="39"/>
      <c r="R60" s="39"/>
      <c r="S60" s="39"/>
      <c r="T60" s="39"/>
      <c r="U60" s="39"/>
      <c r="V60" s="39"/>
      <c r="W60" s="39"/>
    </row>
    <row r="61" spans="1:23" ht="11.25" customHeight="1" x14ac:dyDescent="0.2">
      <c r="A61" s="469" t="str">
        <f>'Org structure'!A7</f>
        <v>Vote 6 - Public Safety</v>
      </c>
      <c r="B61" s="443"/>
      <c r="C61" s="506">
        <f>SUM(C62:C71)</f>
        <v>17169719.940000001</v>
      </c>
      <c r="D61" s="447">
        <f t="shared" ref="D61:K61" si="17">SUM(D62:D71)</f>
        <v>66258972</v>
      </c>
      <c r="E61" s="444">
        <f t="shared" si="17"/>
        <v>66258972</v>
      </c>
      <c r="F61" s="446">
        <f t="shared" si="17"/>
        <v>6847732.9699999997</v>
      </c>
      <c r="G61" s="444">
        <f t="shared" si="17"/>
        <v>10803105.970000003</v>
      </c>
      <c r="H61" s="444">
        <f t="shared" si="17"/>
        <v>27607905</v>
      </c>
      <c r="I61" s="45">
        <f t="shared" si="1"/>
        <v>-16804799.029999997</v>
      </c>
      <c r="J61" s="333">
        <f t="shared" si="2"/>
        <v>-0.60869519183002108</v>
      </c>
      <c r="K61" s="445">
        <f t="shared" si="17"/>
        <v>66258972</v>
      </c>
      <c r="L61" s="427"/>
      <c r="M61" s="39"/>
      <c r="N61" s="39"/>
      <c r="O61" s="39"/>
      <c r="P61" s="39"/>
      <c r="Q61" s="39"/>
      <c r="R61" s="39"/>
      <c r="S61" s="39"/>
      <c r="T61" s="39"/>
      <c r="U61" s="39"/>
      <c r="V61" s="39"/>
      <c r="W61" s="39"/>
    </row>
    <row r="62" spans="1:23" ht="11.25" customHeight="1" x14ac:dyDescent="0.2">
      <c r="A62" s="410" t="str">
        <f>'Org structure'!E58</f>
        <v>6.1 - Security Services</v>
      </c>
      <c r="B62" s="448"/>
      <c r="C62" s="749">
        <v>147504.06999999998</v>
      </c>
      <c r="D62" s="750">
        <v>13992</v>
      </c>
      <c r="E62" s="751">
        <v>13992</v>
      </c>
      <c r="F62" s="752">
        <v>0</v>
      </c>
      <c r="G62" s="751">
        <v>0</v>
      </c>
      <c r="H62" s="751">
        <f t="shared" ref="H62:H125" si="18">E62/12*5</f>
        <v>5830</v>
      </c>
      <c r="I62" s="45">
        <f t="shared" si="1"/>
        <v>-5830</v>
      </c>
      <c r="J62" s="333">
        <f t="shared" si="2"/>
        <v>-1</v>
      </c>
      <c r="K62" s="753">
        <f>D62</f>
        <v>13992</v>
      </c>
      <c r="L62" s="427"/>
      <c r="M62" s="39"/>
      <c r="N62" s="39"/>
      <c r="O62" s="39"/>
      <c r="P62" s="39"/>
      <c r="Q62" s="39"/>
      <c r="R62" s="39"/>
      <c r="S62" s="39"/>
      <c r="T62" s="39"/>
      <c r="U62" s="39"/>
      <c r="V62" s="39"/>
      <c r="W62" s="39"/>
    </row>
    <row r="63" spans="1:23" ht="11.25" customHeight="1" x14ac:dyDescent="0.2">
      <c r="A63" s="410" t="str">
        <f>'Org structure'!E59</f>
        <v>6.2 - Fire and Emergency Services</v>
      </c>
      <c r="B63" s="448"/>
      <c r="C63" s="749">
        <v>531546.05999999994</v>
      </c>
      <c r="D63" s="750">
        <v>0</v>
      </c>
      <c r="E63" s="751">
        <v>0</v>
      </c>
      <c r="F63" s="752">
        <v>0</v>
      </c>
      <c r="G63" s="751">
        <v>0</v>
      </c>
      <c r="H63" s="751">
        <f t="shared" si="18"/>
        <v>0</v>
      </c>
      <c r="I63" s="45">
        <f t="shared" si="1"/>
        <v>0</v>
      </c>
      <c r="J63" s="333" t="str">
        <f t="shared" si="2"/>
        <v/>
      </c>
      <c r="K63" s="753">
        <f t="shared" ref="K63:K71" si="19">D63</f>
        <v>0</v>
      </c>
      <c r="L63" s="427"/>
      <c r="M63" s="39"/>
      <c r="N63" s="39"/>
      <c r="O63" s="39"/>
      <c r="P63" s="39"/>
      <c r="Q63" s="39"/>
      <c r="R63" s="39"/>
      <c r="S63" s="39"/>
      <c r="T63" s="39"/>
      <c r="U63" s="39"/>
      <c r="V63" s="39"/>
      <c r="W63" s="39"/>
    </row>
    <row r="64" spans="1:23" ht="11.25" customHeight="1" x14ac:dyDescent="0.2">
      <c r="A64" s="410" t="str">
        <f>'Org structure'!E60</f>
        <v>6.3 - Public Safety Administrative</v>
      </c>
      <c r="B64" s="448"/>
      <c r="C64" s="749">
        <v>0</v>
      </c>
      <c r="D64" s="750">
        <v>996</v>
      </c>
      <c r="E64" s="751">
        <v>996</v>
      </c>
      <c r="F64" s="752">
        <v>0</v>
      </c>
      <c r="G64" s="751">
        <v>0</v>
      </c>
      <c r="H64" s="751">
        <f t="shared" si="18"/>
        <v>415</v>
      </c>
      <c r="I64" s="45">
        <f t="shared" si="1"/>
        <v>-415</v>
      </c>
      <c r="J64" s="333">
        <f t="shared" si="2"/>
        <v>-1</v>
      </c>
      <c r="K64" s="753">
        <f t="shared" si="19"/>
        <v>996</v>
      </c>
      <c r="L64" s="427"/>
      <c r="M64" s="39"/>
      <c r="N64" s="39"/>
      <c r="O64" s="39"/>
      <c r="P64" s="39"/>
      <c r="Q64" s="39"/>
      <c r="R64" s="39"/>
      <c r="S64" s="39"/>
      <c r="T64" s="39"/>
      <c r="U64" s="39"/>
      <c r="V64" s="39"/>
      <c r="W64" s="39"/>
    </row>
    <row r="65" spans="1:23" ht="11.25" customHeight="1" x14ac:dyDescent="0.2">
      <c r="A65" s="410" t="str">
        <f>'Org structure'!E61</f>
        <v>6.4 - Licensing</v>
      </c>
      <c r="B65" s="448"/>
      <c r="C65" s="749">
        <v>0.47</v>
      </c>
      <c r="D65" s="750">
        <v>26532996</v>
      </c>
      <c r="E65" s="751">
        <v>26532996</v>
      </c>
      <c r="F65" s="752">
        <v>0</v>
      </c>
      <c r="G65" s="751">
        <v>3505.65</v>
      </c>
      <c r="H65" s="751">
        <f t="shared" si="18"/>
        <v>11055415</v>
      </c>
      <c r="I65" s="45">
        <f t="shared" si="1"/>
        <v>-11051909.35</v>
      </c>
      <c r="J65" s="333">
        <f t="shared" si="2"/>
        <v>-0.9996829019987038</v>
      </c>
      <c r="K65" s="753">
        <f t="shared" si="19"/>
        <v>26532996</v>
      </c>
      <c r="L65" s="427"/>
      <c r="M65" s="39"/>
      <c r="N65" s="39"/>
      <c r="O65" s="39"/>
      <c r="P65" s="39"/>
      <c r="Q65" s="39"/>
      <c r="R65" s="39"/>
      <c r="S65" s="39"/>
      <c r="T65" s="39"/>
      <c r="U65" s="39"/>
      <c r="V65" s="39"/>
      <c r="W65" s="39"/>
    </row>
    <row r="66" spans="1:23" ht="11.25" customHeight="1" x14ac:dyDescent="0.2">
      <c r="A66" s="410" t="str">
        <f>'Org structure'!E62</f>
        <v>6.5 - Vehicle Licensing and Testing</v>
      </c>
      <c r="B66" s="448"/>
      <c r="C66" s="749">
        <v>26.09</v>
      </c>
      <c r="D66" s="750">
        <v>14373996</v>
      </c>
      <c r="E66" s="751">
        <v>14373996</v>
      </c>
      <c r="F66" s="752">
        <v>6749407.1499999994</v>
      </c>
      <c r="G66" s="751">
        <v>10394346.280000001</v>
      </c>
      <c r="H66" s="751">
        <f t="shared" si="18"/>
        <v>5989165</v>
      </c>
      <c r="I66" s="45">
        <f t="shared" si="1"/>
        <v>4405181.2800000012</v>
      </c>
      <c r="J66" s="333">
        <f t="shared" si="2"/>
        <v>0.73552511577156432</v>
      </c>
      <c r="K66" s="753">
        <f t="shared" si="19"/>
        <v>14373996</v>
      </c>
      <c r="L66" s="427"/>
      <c r="M66" s="39"/>
      <c r="N66" s="39"/>
      <c r="O66" s="39"/>
      <c r="P66" s="39"/>
      <c r="Q66" s="39"/>
      <c r="R66" s="39"/>
      <c r="S66" s="39"/>
      <c r="T66" s="39"/>
      <c r="U66" s="39"/>
      <c r="V66" s="39"/>
      <c r="W66" s="39"/>
    </row>
    <row r="67" spans="1:23" ht="11.25" customHeight="1" x14ac:dyDescent="0.2">
      <c r="A67" s="410" t="str">
        <f>'Org structure'!E63</f>
        <v>6.6 - Traffic</v>
      </c>
      <c r="B67" s="448"/>
      <c r="C67" s="749">
        <v>16490643.25</v>
      </c>
      <c r="D67" s="750">
        <v>24978012</v>
      </c>
      <c r="E67" s="751">
        <v>24978012</v>
      </c>
      <c r="F67" s="752">
        <v>0</v>
      </c>
      <c r="G67" s="751">
        <v>0</v>
      </c>
      <c r="H67" s="751">
        <f t="shared" si="18"/>
        <v>10407505</v>
      </c>
      <c r="I67" s="45">
        <f t="shared" si="1"/>
        <v>-10407505</v>
      </c>
      <c r="J67" s="333">
        <f t="shared" si="2"/>
        <v>-1</v>
      </c>
      <c r="K67" s="753">
        <f t="shared" si="19"/>
        <v>24978012</v>
      </c>
      <c r="L67" s="427"/>
      <c r="M67" s="39"/>
      <c r="N67" s="39"/>
      <c r="O67" s="39"/>
      <c r="P67" s="39"/>
      <c r="Q67" s="39"/>
      <c r="R67" s="39"/>
      <c r="S67" s="39"/>
      <c r="T67" s="39"/>
      <c r="U67" s="39"/>
      <c r="V67" s="39"/>
      <c r="W67" s="39"/>
    </row>
    <row r="68" spans="1:23" ht="11.25" customHeight="1" x14ac:dyDescent="0.2">
      <c r="A68" s="410" t="str">
        <f>'Org structure'!E64</f>
        <v>6.7 - By-Law Enforcement and Security (administration)</v>
      </c>
      <c r="B68" s="448"/>
      <c r="C68" s="749">
        <v>0</v>
      </c>
      <c r="D68" s="750">
        <v>996</v>
      </c>
      <c r="E68" s="751">
        <v>996</v>
      </c>
      <c r="F68" s="752">
        <v>56021.42</v>
      </c>
      <c r="G68" s="751">
        <v>322758.29000000004</v>
      </c>
      <c r="H68" s="751">
        <f t="shared" si="18"/>
        <v>415</v>
      </c>
      <c r="I68" s="45">
        <f t="shared" si="1"/>
        <v>322343.29000000004</v>
      </c>
      <c r="J68" s="333">
        <f t="shared" si="2"/>
        <v>776.73081927710848</v>
      </c>
      <c r="K68" s="753">
        <f t="shared" si="19"/>
        <v>996</v>
      </c>
      <c r="L68" s="427"/>
      <c r="M68" s="39"/>
      <c r="N68" s="39"/>
      <c r="O68" s="39"/>
      <c r="P68" s="39"/>
      <c r="Q68" s="39"/>
      <c r="R68" s="39"/>
      <c r="S68" s="39"/>
      <c r="T68" s="39"/>
      <c r="U68" s="39"/>
      <c r="V68" s="39"/>
      <c r="W68" s="39"/>
    </row>
    <row r="69" spans="1:23" ht="11.25" customHeight="1" x14ac:dyDescent="0.2">
      <c r="A69" s="410" t="str">
        <f>'Org structure'!E65</f>
        <v>6.8 - Disaster Management</v>
      </c>
      <c r="B69" s="448"/>
      <c r="C69" s="749">
        <v>0</v>
      </c>
      <c r="D69" s="750">
        <v>354996</v>
      </c>
      <c r="E69" s="751">
        <v>354996</v>
      </c>
      <c r="F69" s="752">
        <v>0</v>
      </c>
      <c r="G69" s="751">
        <v>0</v>
      </c>
      <c r="H69" s="751">
        <f t="shared" si="18"/>
        <v>147915</v>
      </c>
      <c r="I69" s="45">
        <f t="shared" si="1"/>
        <v>-147915</v>
      </c>
      <c r="J69" s="333">
        <f t="shared" si="2"/>
        <v>-1</v>
      </c>
      <c r="K69" s="753">
        <f t="shared" si="19"/>
        <v>354996</v>
      </c>
      <c r="L69" s="427"/>
      <c r="M69" s="39"/>
      <c r="N69" s="39"/>
      <c r="O69" s="39"/>
      <c r="P69" s="39"/>
      <c r="Q69" s="39"/>
      <c r="R69" s="39"/>
      <c r="S69" s="39"/>
      <c r="T69" s="39"/>
      <c r="U69" s="39"/>
      <c r="V69" s="39"/>
      <c r="W69" s="39"/>
    </row>
    <row r="70" spans="1:23" ht="11.25" customHeight="1" x14ac:dyDescent="0.2">
      <c r="A70" s="410" t="str">
        <f>'Org structure'!E66</f>
        <v>6.9 - Health Services</v>
      </c>
      <c r="B70" s="448"/>
      <c r="C70" s="749">
        <v>0</v>
      </c>
      <c r="D70" s="750">
        <v>2988</v>
      </c>
      <c r="E70" s="751">
        <v>2988</v>
      </c>
      <c r="F70" s="752">
        <v>10845</v>
      </c>
      <c r="G70" s="751">
        <v>13029</v>
      </c>
      <c r="H70" s="751">
        <f t="shared" si="18"/>
        <v>1245</v>
      </c>
      <c r="I70" s="45">
        <f t="shared" ref="I70:I133" si="20">G70-H70</f>
        <v>11784</v>
      </c>
      <c r="J70" s="333">
        <f t="shared" ref="J70:J133" si="21">IF(I70=0,"",I70/H70)</f>
        <v>9.4650602409638562</v>
      </c>
      <c r="K70" s="753">
        <f t="shared" si="19"/>
        <v>2988</v>
      </c>
      <c r="L70" s="427"/>
      <c r="M70" s="39"/>
      <c r="N70" s="39"/>
      <c r="O70" s="39"/>
      <c r="P70" s="39"/>
      <c r="Q70" s="39"/>
      <c r="R70" s="39"/>
      <c r="S70" s="39"/>
      <c r="T70" s="39"/>
      <c r="U70" s="39"/>
      <c r="V70" s="39"/>
      <c r="W70" s="39"/>
    </row>
    <row r="71" spans="1:23" ht="11.25" customHeight="1" x14ac:dyDescent="0.2">
      <c r="A71" s="410" t="str">
        <f>'Org structure'!E67</f>
        <v xml:space="preserve">6.10 - </v>
      </c>
      <c r="B71" s="448"/>
      <c r="C71" s="749">
        <v>0</v>
      </c>
      <c r="D71" s="750">
        <v>0</v>
      </c>
      <c r="E71" s="751">
        <v>0</v>
      </c>
      <c r="F71" s="752">
        <v>31459.4</v>
      </c>
      <c r="G71" s="751">
        <v>69466.75</v>
      </c>
      <c r="H71" s="751">
        <f t="shared" si="18"/>
        <v>0</v>
      </c>
      <c r="I71" s="45">
        <f t="shared" si="20"/>
        <v>69466.75</v>
      </c>
      <c r="J71" s="333" t="e">
        <f t="shared" si="21"/>
        <v>#DIV/0!</v>
      </c>
      <c r="K71" s="753">
        <f t="shared" si="19"/>
        <v>0</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22">SUM(C73:C82)</f>
        <v>30173364.699999999</v>
      </c>
      <c r="D72" s="447">
        <f t="shared" si="22"/>
        <v>5668944</v>
      </c>
      <c r="E72" s="444">
        <f t="shared" si="22"/>
        <v>5668944</v>
      </c>
      <c r="F72" s="446">
        <f t="shared" si="22"/>
        <v>139951.65999999997</v>
      </c>
      <c r="G72" s="444">
        <f t="shared" si="22"/>
        <v>2463213.9500000002</v>
      </c>
      <c r="H72" s="444">
        <f t="shared" si="22"/>
        <v>2362060</v>
      </c>
      <c r="I72" s="45">
        <f t="shared" si="20"/>
        <v>101153.95000000019</v>
      </c>
      <c r="J72" s="333">
        <f t="shared" si="21"/>
        <v>4.282446254540536E-2</v>
      </c>
      <c r="K72" s="445">
        <f t="shared" si="22"/>
        <v>5668944</v>
      </c>
      <c r="L72" s="427"/>
      <c r="M72" s="39"/>
      <c r="N72" s="39"/>
      <c r="O72" s="39"/>
      <c r="P72" s="39"/>
      <c r="Q72" s="39"/>
      <c r="R72" s="39"/>
      <c r="S72" s="39"/>
      <c r="T72" s="39"/>
      <c r="U72" s="39"/>
      <c r="V72" s="39"/>
      <c r="W72" s="39"/>
    </row>
    <row r="73" spans="1:23" ht="11.25" customHeight="1" x14ac:dyDescent="0.2">
      <c r="A73" s="410" t="str">
        <f>'Org structure'!E69</f>
        <v>7.1 - Corporate and Shared Services</v>
      </c>
      <c r="B73" s="448"/>
      <c r="C73" s="749">
        <v>13247.42</v>
      </c>
      <c r="D73" s="750">
        <v>996</v>
      </c>
      <c r="E73" s="751">
        <v>996</v>
      </c>
      <c r="F73" s="752">
        <v>0</v>
      </c>
      <c r="G73" s="751">
        <v>0</v>
      </c>
      <c r="H73" s="751">
        <f t="shared" si="18"/>
        <v>415</v>
      </c>
      <c r="I73" s="45">
        <f t="shared" si="20"/>
        <v>-415</v>
      </c>
      <c r="J73" s="333">
        <f t="shared" si="21"/>
        <v>-1</v>
      </c>
      <c r="K73" s="753">
        <f>D73</f>
        <v>996</v>
      </c>
      <c r="L73" s="427"/>
      <c r="M73" s="39"/>
      <c r="N73" s="39"/>
      <c r="O73" s="39"/>
      <c r="P73" s="39"/>
      <c r="Q73" s="39"/>
      <c r="R73" s="39"/>
      <c r="S73" s="39"/>
      <c r="T73" s="39"/>
      <c r="U73" s="39"/>
      <c r="V73" s="39"/>
      <c r="W73" s="39"/>
    </row>
    <row r="74" spans="1:23" ht="11.25" customHeight="1" x14ac:dyDescent="0.2">
      <c r="A74" s="410" t="str">
        <f>'Org structure'!E70</f>
        <v>7.2 - Information Services</v>
      </c>
      <c r="B74" s="448"/>
      <c r="C74" s="749">
        <v>6897.46</v>
      </c>
      <c r="D74" s="750">
        <v>3000</v>
      </c>
      <c r="E74" s="751">
        <v>3000</v>
      </c>
      <c r="F74" s="752">
        <v>1029.83</v>
      </c>
      <c r="G74" s="751">
        <v>3009.83</v>
      </c>
      <c r="H74" s="751">
        <f t="shared" si="18"/>
        <v>1250</v>
      </c>
      <c r="I74" s="45">
        <f t="shared" si="20"/>
        <v>1759.83</v>
      </c>
      <c r="J74" s="333">
        <f t="shared" si="21"/>
        <v>1.407864</v>
      </c>
      <c r="K74" s="753">
        <f t="shared" ref="K74:K82" si="23">D74</f>
        <v>3000</v>
      </c>
      <c r="L74" s="427"/>
      <c r="M74" s="39"/>
      <c r="N74" s="39"/>
      <c r="O74" s="39"/>
      <c r="P74" s="39"/>
      <c r="Q74" s="39"/>
      <c r="R74" s="39"/>
      <c r="S74" s="39"/>
      <c r="T74" s="39"/>
      <c r="U74" s="39"/>
      <c r="V74" s="39"/>
      <c r="W74" s="39"/>
    </row>
    <row r="75" spans="1:23" ht="11.25" customHeight="1" x14ac:dyDescent="0.2">
      <c r="A75" s="410" t="str">
        <f>'Org structure'!E71</f>
        <v>7.3 - Occupational Health and Safety</v>
      </c>
      <c r="B75" s="448"/>
      <c r="C75" s="749">
        <v>0</v>
      </c>
      <c r="D75" s="750">
        <v>16992</v>
      </c>
      <c r="E75" s="751">
        <v>16992</v>
      </c>
      <c r="F75" s="752">
        <v>0</v>
      </c>
      <c r="G75" s="751">
        <v>0</v>
      </c>
      <c r="H75" s="751">
        <f t="shared" si="18"/>
        <v>7080</v>
      </c>
      <c r="I75" s="45">
        <f t="shared" si="20"/>
        <v>-7080</v>
      </c>
      <c r="J75" s="333">
        <f t="shared" si="21"/>
        <v>-1</v>
      </c>
      <c r="K75" s="753">
        <f t="shared" si="23"/>
        <v>16992</v>
      </c>
      <c r="L75" s="427"/>
      <c r="M75" s="39"/>
      <c r="N75" s="39"/>
      <c r="O75" s="39"/>
      <c r="P75" s="39"/>
      <c r="Q75" s="39"/>
      <c r="R75" s="39"/>
      <c r="S75" s="39"/>
      <c r="T75" s="39"/>
      <c r="U75" s="39"/>
      <c r="V75" s="39"/>
      <c r="W75" s="39"/>
    </row>
    <row r="76" spans="1:23" ht="11.25" customHeight="1" x14ac:dyDescent="0.2">
      <c r="A76" s="410" t="str">
        <f>'Org structure'!E72</f>
        <v>7.4 - Fleet Management</v>
      </c>
      <c r="B76" s="448"/>
      <c r="C76" s="749">
        <v>26103302.260000002</v>
      </c>
      <c r="D76" s="750">
        <v>1992</v>
      </c>
      <c r="E76" s="751">
        <v>1992</v>
      </c>
      <c r="F76" s="752">
        <v>0</v>
      </c>
      <c r="G76" s="751">
        <v>0</v>
      </c>
      <c r="H76" s="751">
        <f t="shared" si="18"/>
        <v>830</v>
      </c>
      <c r="I76" s="45">
        <f t="shared" si="20"/>
        <v>-830</v>
      </c>
      <c r="J76" s="333">
        <f t="shared" si="21"/>
        <v>-1</v>
      </c>
      <c r="K76" s="753">
        <f t="shared" si="23"/>
        <v>1992</v>
      </c>
      <c r="L76" s="427"/>
      <c r="M76" s="39"/>
      <c r="N76" s="39"/>
      <c r="O76" s="39"/>
      <c r="P76" s="39"/>
      <c r="Q76" s="39"/>
      <c r="R76" s="39"/>
      <c r="S76" s="39"/>
      <c r="T76" s="39"/>
      <c r="U76" s="39"/>
      <c r="V76" s="39"/>
      <c r="W76" s="39"/>
    </row>
    <row r="77" spans="1:23" ht="11.25" customHeight="1" x14ac:dyDescent="0.2">
      <c r="A77" s="410" t="str">
        <f>'Org structure'!E73</f>
        <v>7.5 - Human Resources Management</v>
      </c>
      <c r="B77" s="448"/>
      <c r="C77" s="749">
        <v>0</v>
      </c>
      <c r="D77" s="750">
        <v>1992</v>
      </c>
      <c r="E77" s="751">
        <v>1992</v>
      </c>
      <c r="F77" s="752">
        <v>0</v>
      </c>
      <c r="G77" s="751">
        <v>0</v>
      </c>
      <c r="H77" s="751">
        <f t="shared" si="18"/>
        <v>830</v>
      </c>
      <c r="I77" s="45">
        <f t="shared" si="20"/>
        <v>-830</v>
      </c>
      <c r="J77" s="333">
        <f t="shared" si="21"/>
        <v>-1</v>
      </c>
      <c r="K77" s="753">
        <f t="shared" si="23"/>
        <v>1992</v>
      </c>
      <c r="L77" s="427"/>
      <c r="M77" s="39"/>
      <c r="N77" s="39"/>
      <c r="O77" s="39"/>
      <c r="P77" s="39"/>
      <c r="Q77" s="39"/>
      <c r="R77" s="39"/>
      <c r="S77" s="39"/>
      <c r="T77" s="39"/>
      <c r="U77" s="39"/>
      <c r="V77" s="39"/>
      <c r="W77" s="39"/>
    </row>
    <row r="78" spans="1:23" ht="11.25" customHeight="1" x14ac:dyDescent="0.2">
      <c r="A78" s="410" t="str">
        <f>'Org structure'!E74</f>
        <v>7.6 - Human Resources Admin</v>
      </c>
      <c r="B78" s="448"/>
      <c r="C78" s="749">
        <v>4049917.56</v>
      </c>
      <c r="D78" s="750">
        <v>1992</v>
      </c>
      <c r="E78" s="751">
        <v>1992</v>
      </c>
      <c r="F78" s="752">
        <v>0</v>
      </c>
      <c r="G78" s="751">
        <v>0</v>
      </c>
      <c r="H78" s="751">
        <f t="shared" si="18"/>
        <v>830</v>
      </c>
      <c r="I78" s="45">
        <f t="shared" si="20"/>
        <v>-830</v>
      </c>
      <c r="J78" s="333">
        <f t="shared" si="21"/>
        <v>-1</v>
      </c>
      <c r="K78" s="753">
        <f t="shared" si="23"/>
        <v>1992</v>
      </c>
      <c r="L78" s="449"/>
      <c r="M78" s="41"/>
      <c r="N78" s="41"/>
      <c r="O78" s="41"/>
      <c r="P78" s="41"/>
      <c r="Q78" s="41"/>
      <c r="R78" s="41"/>
      <c r="S78" s="41"/>
      <c r="T78" s="41"/>
      <c r="U78" s="41"/>
      <c r="V78" s="41"/>
      <c r="W78" s="41"/>
    </row>
    <row r="79" spans="1:23" ht="11.25" customHeight="1" x14ac:dyDescent="0.2">
      <c r="A79" s="410" t="str">
        <f>'Org structure'!E75</f>
        <v>7.7 - Human Resources Development</v>
      </c>
      <c r="B79" s="448"/>
      <c r="C79" s="749">
        <v>0</v>
      </c>
      <c r="D79" s="750">
        <v>5641980</v>
      </c>
      <c r="E79" s="751">
        <v>5641980</v>
      </c>
      <c r="F79" s="752">
        <v>0</v>
      </c>
      <c r="G79" s="751">
        <v>0</v>
      </c>
      <c r="H79" s="751">
        <f t="shared" si="18"/>
        <v>2350825</v>
      </c>
      <c r="I79" s="45">
        <f t="shared" si="20"/>
        <v>-2350825</v>
      </c>
      <c r="J79" s="333">
        <f t="shared" si="21"/>
        <v>-1</v>
      </c>
      <c r="K79" s="753">
        <f t="shared" si="23"/>
        <v>5641980</v>
      </c>
      <c r="L79" s="449"/>
      <c r="M79" s="41"/>
      <c r="N79" s="41"/>
      <c r="O79" s="41"/>
      <c r="P79" s="41"/>
      <c r="Q79" s="41"/>
      <c r="R79" s="41"/>
      <c r="S79" s="41"/>
      <c r="T79" s="41"/>
      <c r="U79" s="41"/>
      <c r="V79" s="41"/>
      <c r="W79" s="41"/>
    </row>
    <row r="80" spans="1:23" ht="11.25" customHeight="1" x14ac:dyDescent="0.2">
      <c r="A80" s="410" t="str">
        <f>'Org structure'!E76</f>
        <v xml:space="preserve">7.8 - </v>
      </c>
      <c r="B80" s="448"/>
      <c r="C80" s="749">
        <v>0</v>
      </c>
      <c r="D80" s="750">
        <v>0</v>
      </c>
      <c r="E80" s="751">
        <v>0</v>
      </c>
      <c r="F80" s="752">
        <v>0</v>
      </c>
      <c r="G80" s="751">
        <v>0</v>
      </c>
      <c r="H80" s="751">
        <f t="shared" si="18"/>
        <v>0</v>
      </c>
      <c r="I80" s="45">
        <f t="shared" si="20"/>
        <v>0</v>
      </c>
      <c r="J80" s="333" t="str">
        <f t="shared" si="21"/>
        <v/>
      </c>
      <c r="K80" s="753">
        <f t="shared" si="23"/>
        <v>0</v>
      </c>
      <c r="L80" s="449"/>
      <c r="M80" s="41"/>
      <c r="N80" s="41"/>
      <c r="O80" s="41"/>
      <c r="P80" s="41"/>
      <c r="Q80" s="41"/>
      <c r="R80" s="41"/>
      <c r="S80" s="41"/>
      <c r="T80" s="41"/>
      <c r="U80" s="41"/>
      <c r="V80" s="41"/>
      <c r="W80" s="41"/>
    </row>
    <row r="81" spans="1:23" ht="11.25" customHeight="1" x14ac:dyDescent="0.2">
      <c r="A81" s="410" t="str">
        <f>'Org structure'!E77</f>
        <v xml:space="preserve">7.9 - </v>
      </c>
      <c r="B81" s="448"/>
      <c r="C81" s="749">
        <v>0</v>
      </c>
      <c r="D81" s="750">
        <v>0</v>
      </c>
      <c r="E81" s="751">
        <v>0</v>
      </c>
      <c r="F81" s="752">
        <v>0</v>
      </c>
      <c r="G81" s="751">
        <v>0</v>
      </c>
      <c r="H81" s="751">
        <f t="shared" si="18"/>
        <v>0</v>
      </c>
      <c r="I81" s="45">
        <f t="shared" si="20"/>
        <v>0</v>
      </c>
      <c r="J81" s="333" t="str">
        <f t="shared" si="21"/>
        <v/>
      </c>
      <c r="K81" s="753">
        <f t="shared" si="23"/>
        <v>0</v>
      </c>
      <c r="L81" s="449"/>
      <c r="M81" s="41"/>
      <c r="N81" s="41"/>
      <c r="O81" s="41"/>
      <c r="P81" s="41"/>
      <c r="Q81" s="41"/>
      <c r="R81" s="41"/>
      <c r="S81" s="41"/>
      <c r="T81" s="41"/>
      <c r="U81" s="41"/>
      <c r="V81" s="41"/>
      <c r="W81" s="41"/>
    </row>
    <row r="82" spans="1:23" ht="11.25" customHeight="1" x14ac:dyDescent="0.2">
      <c r="A82" s="410" t="str">
        <f>'Org structure'!E78</f>
        <v xml:space="preserve">7.10 - </v>
      </c>
      <c r="B82" s="448"/>
      <c r="C82" s="749">
        <v>0</v>
      </c>
      <c r="D82" s="750">
        <v>0</v>
      </c>
      <c r="E82" s="751">
        <v>0</v>
      </c>
      <c r="F82" s="752">
        <v>138921.82999999999</v>
      </c>
      <c r="G82" s="751">
        <v>2460204.12</v>
      </c>
      <c r="H82" s="751">
        <f t="shared" si="18"/>
        <v>0</v>
      </c>
      <c r="I82" s="45">
        <f t="shared" si="20"/>
        <v>2460204.12</v>
      </c>
      <c r="J82" s="333" t="e">
        <f t="shared" si="21"/>
        <v>#DIV/0!</v>
      </c>
      <c r="K82" s="753">
        <f t="shared" si="23"/>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227869562.54000002</v>
      </c>
      <c r="D83" s="447">
        <f t="shared" ref="D83:K83" si="24">SUM(D84:D93)</f>
        <v>53479932</v>
      </c>
      <c r="E83" s="444">
        <f t="shared" si="24"/>
        <v>53479932</v>
      </c>
      <c r="F83" s="446">
        <f t="shared" si="24"/>
        <v>1611181.58</v>
      </c>
      <c r="G83" s="444">
        <f t="shared" si="24"/>
        <v>7169013.8800000008</v>
      </c>
      <c r="H83" s="444">
        <f t="shared" si="24"/>
        <v>22283305</v>
      </c>
      <c r="I83" s="45">
        <f t="shared" si="20"/>
        <v>-15114291.119999999</v>
      </c>
      <c r="J83" s="333">
        <f t="shared" si="21"/>
        <v>-0.67827869878368574</v>
      </c>
      <c r="K83" s="445">
        <f t="shared" si="24"/>
        <v>53479932</v>
      </c>
      <c r="L83" s="449"/>
      <c r="M83" s="41"/>
      <c r="N83" s="41"/>
      <c r="O83" s="41"/>
      <c r="P83" s="41"/>
      <c r="Q83" s="41"/>
      <c r="R83" s="41"/>
      <c r="S83" s="41"/>
      <c r="T83" s="41"/>
      <c r="U83" s="41"/>
      <c r="V83" s="41"/>
      <c r="W83" s="41"/>
    </row>
    <row r="84" spans="1:23" ht="11.25" customHeight="1" x14ac:dyDescent="0.2">
      <c r="A84" s="410" t="str">
        <f>'Org structure'!E80</f>
        <v>8.1 - Directorate Planning and Development</v>
      </c>
      <c r="B84" s="448"/>
      <c r="C84" s="749">
        <v>0</v>
      </c>
      <c r="D84" s="750">
        <v>996</v>
      </c>
      <c r="E84" s="751">
        <v>996</v>
      </c>
      <c r="F84" s="752">
        <v>0</v>
      </c>
      <c r="G84" s="751">
        <v>0</v>
      </c>
      <c r="H84" s="751">
        <f t="shared" si="18"/>
        <v>415</v>
      </c>
      <c r="I84" s="45">
        <f t="shared" si="20"/>
        <v>-415</v>
      </c>
      <c r="J84" s="333">
        <f t="shared" si="21"/>
        <v>-1</v>
      </c>
      <c r="K84" s="753">
        <f>D84</f>
        <v>996</v>
      </c>
      <c r="L84" s="449"/>
      <c r="M84" s="41"/>
      <c r="N84" s="41"/>
      <c r="O84" s="41"/>
      <c r="P84" s="41"/>
      <c r="Q84" s="41"/>
      <c r="R84" s="41"/>
      <c r="S84" s="41"/>
      <c r="T84" s="41"/>
      <c r="U84" s="41"/>
      <c r="V84" s="41"/>
      <c r="W84" s="41"/>
    </row>
    <row r="85" spans="1:23" ht="11.25" customHeight="1" x14ac:dyDescent="0.2">
      <c r="A85" s="410" t="str">
        <f>'Org structure'!E81</f>
        <v>8.2 - Property Services</v>
      </c>
      <c r="B85" s="448"/>
      <c r="C85" s="749">
        <v>208929249.94</v>
      </c>
      <c r="D85" s="750">
        <v>2988</v>
      </c>
      <c r="E85" s="751">
        <v>2988</v>
      </c>
      <c r="F85" s="752">
        <v>0</v>
      </c>
      <c r="G85" s="751">
        <v>0</v>
      </c>
      <c r="H85" s="751">
        <f t="shared" si="18"/>
        <v>1245</v>
      </c>
      <c r="I85" s="45">
        <f t="shared" si="20"/>
        <v>-1245</v>
      </c>
      <c r="J85" s="333">
        <f t="shared" si="21"/>
        <v>-1</v>
      </c>
      <c r="K85" s="753">
        <f t="shared" ref="K85:K93" si="25">D85</f>
        <v>2988</v>
      </c>
      <c r="L85" s="449"/>
      <c r="M85" s="41"/>
      <c r="N85" s="41"/>
      <c r="O85" s="41"/>
      <c r="P85" s="41"/>
      <c r="Q85" s="41"/>
      <c r="R85" s="41"/>
      <c r="S85" s="41"/>
      <c r="T85" s="41"/>
      <c r="U85" s="41"/>
      <c r="V85" s="41"/>
      <c r="W85" s="41"/>
    </row>
    <row r="86" spans="1:23" ht="11.25" customHeight="1" x14ac:dyDescent="0.2">
      <c r="A86" s="410" t="str">
        <f>'Org structure'!E82</f>
        <v>8.3 - City and Regional Planning</v>
      </c>
      <c r="B86" s="448"/>
      <c r="C86" s="749">
        <v>10878456.58</v>
      </c>
      <c r="D86" s="750">
        <v>53434980</v>
      </c>
      <c r="E86" s="751">
        <v>53434980</v>
      </c>
      <c r="F86" s="752">
        <v>151897.21</v>
      </c>
      <c r="G86" s="751">
        <v>755522.92999999993</v>
      </c>
      <c r="H86" s="751">
        <f t="shared" si="18"/>
        <v>22264575</v>
      </c>
      <c r="I86" s="45">
        <f t="shared" si="20"/>
        <v>-21509052.07</v>
      </c>
      <c r="J86" s="333">
        <f t="shared" si="21"/>
        <v>-0.96606614184191708</v>
      </c>
      <c r="K86" s="753">
        <f t="shared" si="25"/>
        <v>53434980</v>
      </c>
      <c r="L86" s="449"/>
      <c r="M86" s="41"/>
      <c r="N86" s="41"/>
      <c r="O86" s="41"/>
      <c r="P86" s="41"/>
      <c r="Q86" s="41"/>
      <c r="R86" s="41"/>
      <c r="S86" s="41"/>
      <c r="T86" s="41"/>
      <c r="U86" s="41"/>
      <c r="V86" s="41"/>
      <c r="W86" s="41"/>
    </row>
    <row r="87" spans="1:23" ht="11.25" customHeight="1" x14ac:dyDescent="0.2">
      <c r="A87" s="410" t="str">
        <f>'Org structure'!E83</f>
        <v>8.4 - Corporate Geo Information</v>
      </c>
      <c r="B87" s="448"/>
      <c r="C87" s="749">
        <v>0</v>
      </c>
      <c r="D87" s="750">
        <v>996</v>
      </c>
      <c r="E87" s="751">
        <v>996</v>
      </c>
      <c r="F87" s="752">
        <v>0</v>
      </c>
      <c r="G87" s="751">
        <v>0</v>
      </c>
      <c r="H87" s="751">
        <f t="shared" si="18"/>
        <v>415</v>
      </c>
      <c r="I87" s="45">
        <f t="shared" si="20"/>
        <v>-415</v>
      </c>
      <c r="J87" s="333">
        <f t="shared" si="21"/>
        <v>-1</v>
      </c>
      <c r="K87" s="753">
        <f t="shared" si="25"/>
        <v>996</v>
      </c>
      <c r="L87" s="449"/>
      <c r="M87" s="41"/>
      <c r="N87" s="41"/>
      <c r="O87" s="41"/>
      <c r="P87" s="41"/>
      <c r="Q87" s="41"/>
      <c r="R87" s="41"/>
      <c r="S87" s="41"/>
      <c r="T87" s="41"/>
      <c r="U87" s="41"/>
      <c r="V87" s="41"/>
      <c r="W87" s="41"/>
    </row>
    <row r="88" spans="1:23" ht="11.25" customHeight="1" x14ac:dyDescent="0.2">
      <c r="A88" s="410" t="str">
        <f>'Org structure'!E84</f>
        <v>8.5 - Building Inspectorate</v>
      </c>
      <c r="B88" s="448"/>
      <c r="C88" s="749">
        <v>0</v>
      </c>
      <c r="D88" s="750">
        <v>996</v>
      </c>
      <c r="E88" s="751">
        <v>996</v>
      </c>
      <c r="F88" s="752">
        <v>0</v>
      </c>
      <c r="G88" s="751">
        <v>0</v>
      </c>
      <c r="H88" s="751">
        <f t="shared" si="18"/>
        <v>415</v>
      </c>
      <c r="I88" s="45">
        <f t="shared" si="20"/>
        <v>-415</v>
      </c>
      <c r="J88" s="333">
        <f t="shared" si="21"/>
        <v>-1</v>
      </c>
      <c r="K88" s="753">
        <f t="shared" si="25"/>
        <v>996</v>
      </c>
      <c r="L88" s="449"/>
      <c r="M88" s="41"/>
      <c r="N88" s="41"/>
      <c r="O88" s="41"/>
      <c r="P88" s="41"/>
      <c r="Q88" s="41"/>
      <c r="R88" s="41"/>
      <c r="S88" s="41"/>
      <c r="T88" s="41"/>
      <c r="U88" s="41"/>
      <c r="V88" s="41"/>
      <c r="W88" s="41"/>
    </row>
    <row r="89" spans="1:23" ht="11.25" customHeight="1" x14ac:dyDescent="0.2">
      <c r="A89" s="410" t="str">
        <f>'Org structure'!E85</f>
        <v>8.6 - Economic Development and Tourism</v>
      </c>
      <c r="B89" s="448"/>
      <c r="C89" s="749">
        <v>193651.27</v>
      </c>
      <c r="D89" s="750">
        <v>996</v>
      </c>
      <c r="E89" s="751">
        <v>996</v>
      </c>
      <c r="F89" s="752">
        <v>374340.88</v>
      </c>
      <c r="G89" s="751">
        <v>978424.38</v>
      </c>
      <c r="H89" s="751">
        <f t="shared" si="18"/>
        <v>415</v>
      </c>
      <c r="I89" s="45">
        <f t="shared" si="20"/>
        <v>978009.38</v>
      </c>
      <c r="J89" s="333">
        <f t="shared" si="21"/>
        <v>2356.6491084337349</v>
      </c>
      <c r="K89" s="753">
        <f t="shared" si="25"/>
        <v>996</v>
      </c>
      <c r="L89" s="449"/>
      <c r="M89" s="41"/>
      <c r="N89" s="41"/>
      <c r="O89" s="41"/>
      <c r="P89" s="41"/>
      <c r="Q89" s="41"/>
      <c r="R89" s="41"/>
      <c r="S89" s="41"/>
      <c r="T89" s="41"/>
      <c r="U89" s="41"/>
      <c r="V89" s="41"/>
      <c r="W89" s="41"/>
    </row>
    <row r="90" spans="1:23" ht="11.25" customHeight="1" x14ac:dyDescent="0.2">
      <c r="A90" s="410" t="str">
        <f>'Org structure'!E86</f>
        <v>8.7 - Local Economic Development</v>
      </c>
      <c r="B90" s="448"/>
      <c r="C90" s="749">
        <v>0</v>
      </c>
      <c r="D90" s="750">
        <v>35988</v>
      </c>
      <c r="E90" s="751">
        <v>35988</v>
      </c>
      <c r="F90" s="752">
        <v>0</v>
      </c>
      <c r="G90" s="751">
        <v>0</v>
      </c>
      <c r="H90" s="751">
        <f t="shared" si="18"/>
        <v>14995</v>
      </c>
      <c r="I90" s="45">
        <f t="shared" si="20"/>
        <v>-14995</v>
      </c>
      <c r="J90" s="333">
        <f t="shared" si="21"/>
        <v>-1</v>
      </c>
      <c r="K90" s="753">
        <f t="shared" si="25"/>
        <v>35988</v>
      </c>
      <c r="L90" s="449"/>
      <c r="M90" s="41"/>
      <c r="N90" s="41"/>
      <c r="O90" s="41"/>
      <c r="P90" s="41"/>
      <c r="Q90" s="41"/>
      <c r="R90" s="41"/>
      <c r="S90" s="41"/>
      <c r="T90" s="41"/>
      <c r="U90" s="41"/>
      <c r="V90" s="41"/>
      <c r="W90" s="41"/>
    </row>
    <row r="91" spans="1:23" ht="11.25" customHeight="1" x14ac:dyDescent="0.2">
      <c r="A91" s="410" t="str">
        <f>'Org structure'!E87</f>
        <v>8.8 - Investment Promotion</v>
      </c>
      <c r="B91" s="448"/>
      <c r="C91" s="749">
        <v>0</v>
      </c>
      <c r="D91" s="750">
        <v>996</v>
      </c>
      <c r="E91" s="751">
        <v>996</v>
      </c>
      <c r="F91" s="752">
        <v>0</v>
      </c>
      <c r="G91" s="751">
        <v>0</v>
      </c>
      <c r="H91" s="751">
        <f t="shared" si="18"/>
        <v>415</v>
      </c>
      <c r="I91" s="45">
        <f t="shared" si="20"/>
        <v>-415</v>
      </c>
      <c r="J91" s="333">
        <f t="shared" si="21"/>
        <v>-1</v>
      </c>
      <c r="K91" s="753">
        <f t="shared" si="25"/>
        <v>996</v>
      </c>
      <c r="L91" s="449"/>
      <c r="M91" s="41"/>
      <c r="N91" s="41"/>
      <c r="O91" s="41"/>
      <c r="P91" s="41"/>
      <c r="Q91" s="41"/>
      <c r="R91" s="41"/>
      <c r="S91" s="41"/>
      <c r="T91" s="41"/>
      <c r="U91" s="41"/>
      <c r="V91" s="41"/>
      <c r="W91" s="41"/>
    </row>
    <row r="92" spans="1:23" ht="11.25" customHeight="1" x14ac:dyDescent="0.2">
      <c r="A92" s="410" t="str">
        <f>'Org structure'!E88</f>
        <v>8.9 - LED (Economic Planning)</v>
      </c>
      <c r="B92" s="448"/>
      <c r="C92" s="749">
        <v>0</v>
      </c>
      <c r="D92" s="750">
        <v>996</v>
      </c>
      <c r="E92" s="751">
        <v>996</v>
      </c>
      <c r="F92" s="752">
        <v>0</v>
      </c>
      <c r="G92" s="751">
        <v>0</v>
      </c>
      <c r="H92" s="751">
        <f t="shared" si="18"/>
        <v>415</v>
      </c>
      <c r="I92" s="45">
        <f t="shared" si="20"/>
        <v>-415</v>
      </c>
      <c r="J92" s="333">
        <f t="shared" si="21"/>
        <v>-1</v>
      </c>
      <c r="K92" s="753">
        <f t="shared" si="25"/>
        <v>996</v>
      </c>
      <c r="L92" s="449"/>
      <c r="M92" s="41"/>
      <c r="N92" s="41"/>
      <c r="O92" s="41"/>
      <c r="P92" s="41"/>
      <c r="Q92" s="41"/>
      <c r="R92" s="41"/>
      <c r="S92" s="41"/>
      <c r="T92" s="41"/>
      <c r="U92" s="41"/>
      <c r="V92" s="41"/>
      <c r="W92" s="41"/>
    </row>
    <row r="93" spans="1:23" ht="11.25" customHeight="1" x14ac:dyDescent="0.2">
      <c r="A93" s="410" t="str">
        <f>'Org structure'!E89</f>
        <v>8.10 - Other Planning and Economic Development</v>
      </c>
      <c r="B93" s="448"/>
      <c r="C93" s="749">
        <v>7868204.75</v>
      </c>
      <c r="D93" s="750">
        <v>0</v>
      </c>
      <c r="E93" s="751">
        <v>0</v>
      </c>
      <c r="F93" s="752">
        <v>1084943.49</v>
      </c>
      <c r="G93" s="751">
        <v>5435066.5700000003</v>
      </c>
      <c r="H93" s="751">
        <f t="shared" si="18"/>
        <v>0</v>
      </c>
      <c r="I93" s="45">
        <f t="shared" si="20"/>
        <v>5435066.5700000003</v>
      </c>
      <c r="J93" s="333" t="e">
        <f t="shared" si="21"/>
        <v>#DIV/0!</v>
      </c>
      <c r="K93" s="753">
        <f t="shared" si="25"/>
        <v>0</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2259896440.0599999</v>
      </c>
      <c r="D94" s="447">
        <f t="shared" ref="D94:K94" si="26">SUM(D95:D104)</f>
        <v>3143104980</v>
      </c>
      <c r="E94" s="444">
        <f t="shared" si="26"/>
        <v>3143104980</v>
      </c>
      <c r="F94" s="446">
        <f t="shared" si="26"/>
        <v>172862695.59000006</v>
      </c>
      <c r="G94" s="444">
        <f t="shared" si="26"/>
        <v>1028577342.2399998</v>
      </c>
      <c r="H94" s="444">
        <f t="shared" si="26"/>
        <v>1309631059</v>
      </c>
      <c r="I94" s="45">
        <f t="shared" si="20"/>
        <v>-281053716.76000023</v>
      </c>
      <c r="J94" s="333">
        <f t="shared" si="21"/>
        <v>-0.21460526216796164</v>
      </c>
      <c r="K94" s="445">
        <f t="shared" si="26"/>
        <v>3143104980</v>
      </c>
      <c r="L94" s="449"/>
      <c r="M94" s="41"/>
      <c r="N94" s="41"/>
      <c r="O94" s="41"/>
      <c r="P94" s="41"/>
      <c r="Q94" s="41"/>
      <c r="R94" s="41"/>
      <c r="S94" s="41"/>
      <c r="T94" s="41"/>
      <c r="U94" s="41"/>
      <c r="V94" s="41"/>
      <c r="W94" s="41"/>
    </row>
    <row r="95" spans="1:23" ht="11.25" customHeight="1" x14ac:dyDescent="0.2">
      <c r="A95" s="410" t="str">
        <f>'Org structure'!E91</f>
        <v>9.1 - Budget and Treasury Office (Administration)</v>
      </c>
      <c r="B95" s="448"/>
      <c r="C95" s="749">
        <v>0</v>
      </c>
      <c r="D95" s="750">
        <v>996</v>
      </c>
      <c r="E95" s="751">
        <v>996</v>
      </c>
      <c r="F95" s="752">
        <v>21244679.689999998</v>
      </c>
      <c r="G95" s="751">
        <v>105668671.24999999</v>
      </c>
      <c r="H95" s="751">
        <f t="shared" si="18"/>
        <v>415</v>
      </c>
      <c r="I95" s="45">
        <f t="shared" si="20"/>
        <v>105668256.24999999</v>
      </c>
      <c r="J95" s="333">
        <f t="shared" si="21"/>
        <v>254622.30421686743</v>
      </c>
      <c r="K95" s="753">
        <f>D95</f>
        <v>996</v>
      </c>
      <c r="L95" s="449"/>
      <c r="M95" s="41"/>
      <c r="N95" s="41"/>
      <c r="O95" s="41"/>
      <c r="P95" s="41"/>
      <c r="Q95" s="41"/>
      <c r="R95" s="41"/>
      <c r="S95" s="41"/>
      <c r="T95" s="41"/>
      <c r="U95" s="41"/>
      <c r="V95" s="41"/>
      <c r="W95" s="41"/>
    </row>
    <row r="96" spans="1:23" ht="11.25" customHeight="1" x14ac:dyDescent="0.2">
      <c r="A96" s="410" t="str">
        <f>'Org structure'!E92</f>
        <v>9.2 - Expenditure</v>
      </c>
      <c r="B96" s="448"/>
      <c r="C96" s="749">
        <v>0</v>
      </c>
      <c r="D96" s="750">
        <v>0</v>
      </c>
      <c r="E96" s="751">
        <v>0</v>
      </c>
      <c r="F96" s="752">
        <v>0</v>
      </c>
      <c r="G96" s="751">
        <v>0</v>
      </c>
      <c r="H96" s="751">
        <f t="shared" si="18"/>
        <v>0</v>
      </c>
      <c r="I96" s="45">
        <f t="shared" si="20"/>
        <v>0</v>
      </c>
      <c r="J96" s="333" t="str">
        <f t="shared" si="21"/>
        <v/>
      </c>
      <c r="K96" s="753">
        <f t="shared" ref="K96:K104" si="27">D96</f>
        <v>0</v>
      </c>
      <c r="L96" s="449"/>
      <c r="M96" s="41"/>
      <c r="N96" s="41"/>
      <c r="O96" s="41"/>
      <c r="P96" s="41"/>
      <c r="Q96" s="41"/>
      <c r="R96" s="41"/>
      <c r="S96" s="41"/>
      <c r="T96" s="41"/>
      <c r="U96" s="41"/>
      <c r="V96" s="41"/>
      <c r="W96" s="41"/>
    </row>
    <row r="97" spans="1:23" ht="11.25" customHeight="1" x14ac:dyDescent="0.2">
      <c r="A97" s="410" t="str">
        <f>'Org structure'!E93</f>
        <v>9.3 - Revenue Management and Customer Care</v>
      </c>
      <c r="B97" s="448"/>
      <c r="C97" s="749">
        <v>2262912350.3800001</v>
      </c>
      <c r="D97" s="750">
        <v>3136356996</v>
      </c>
      <c r="E97" s="751">
        <v>3136356996</v>
      </c>
      <c r="F97" s="752">
        <v>151616155.56000006</v>
      </c>
      <c r="G97" s="751">
        <v>922896451.14999974</v>
      </c>
      <c r="H97" s="751">
        <v>1306819399</v>
      </c>
      <c r="I97" s="45">
        <f t="shared" si="20"/>
        <v>-383922947.85000026</v>
      </c>
      <c r="J97" s="333">
        <f t="shared" si="21"/>
        <v>-0.29378424298245381</v>
      </c>
      <c r="K97" s="753">
        <f t="shared" si="27"/>
        <v>3136356996</v>
      </c>
      <c r="L97" s="449"/>
      <c r="M97" s="41"/>
      <c r="N97" s="41"/>
      <c r="O97" s="41"/>
      <c r="P97" s="41"/>
      <c r="Q97" s="41"/>
      <c r="R97" s="41"/>
      <c r="S97" s="41"/>
      <c r="T97" s="41"/>
      <c r="U97" s="41"/>
      <c r="V97" s="41"/>
      <c r="W97" s="41"/>
    </row>
    <row r="98" spans="1:23" ht="11.25" customHeight="1" x14ac:dyDescent="0.2">
      <c r="A98" s="410" t="str">
        <f>'Org structure'!E94</f>
        <v>9.4 - Supply Chain Management</v>
      </c>
      <c r="B98" s="448"/>
      <c r="C98" s="749">
        <v>-3015910.3200000003</v>
      </c>
      <c r="D98" s="750">
        <v>6744996</v>
      </c>
      <c r="E98" s="751">
        <v>6744996</v>
      </c>
      <c r="F98" s="752">
        <v>1860.34</v>
      </c>
      <c r="G98" s="751">
        <v>12219.84</v>
      </c>
      <c r="H98" s="751">
        <f t="shared" si="18"/>
        <v>2810415</v>
      </c>
      <c r="I98" s="45">
        <f t="shared" si="20"/>
        <v>-2798195.16</v>
      </c>
      <c r="J98" s="333">
        <f t="shared" si="21"/>
        <v>-0.99565194464162776</v>
      </c>
      <c r="K98" s="753">
        <f t="shared" si="27"/>
        <v>6744996</v>
      </c>
      <c r="L98" s="449"/>
      <c r="M98" s="41"/>
      <c r="N98" s="41"/>
      <c r="O98" s="41"/>
      <c r="P98" s="41"/>
      <c r="Q98" s="41"/>
      <c r="R98" s="41"/>
      <c r="S98" s="41"/>
      <c r="T98" s="41"/>
      <c r="U98" s="41"/>
      <c r="V98" s="41"/>
      <c r="W98" s="41"/>
    </row>
    <row r="99" spans="1:23" ht="11.25" customHeight="1" x14ac:dyDescent="0.2">
      <c r="A99" s="410" t="str">
        <f>'Org structure'!E95</f>
        <v>9.5 - Asset Management</v>
      </c>
      <c r="B99" s="448"/>
      <c r="C99" s="749">
        <v>0</v>
      </c>
      <c r="D99" s="750">
        <v>996</v>
      </c>
      <c r="E99" s="751">
        <v>996</v>
      </c>
      <c r="F99" s="752">
        <v>0</v>
      </c>
      <c r="G99" s="751">
        <v>0</v>
      </c>
      <c r="H99" s="751">
        <f t="shared" si="18"/>
        <v>415</v>
      </c>
      <c r="I99" s="45">
        <f t="shared" si="20"/>
        <v>-415</v>
      </c>
      <c r="J99" s="333">
        <f t="shared" si="21"/>
        <v>-1</v>
      </c>
      <c r="K99" s="753">
        <f t="shared" si="27"/>
        <v>996</v>
      </c>
      <c r="L99" s="449"/>
      <c r="M99" s="41"/>
      <c r="N99" s="41"/>
      <c r="O99" s="41"/>
      <c r="P99" s="41"/>
      <c r="Q99" s="41"/>
      <c r="R99" s="41"/>
      <c r="S99" s="41"/>
      <c r="T99" s="41"/>
      <c r="U99" s="41"/>
      <c r="V99" s="41"/>
      <c r="W99" s="41"/>
    </row>
    <row r="100" spans="1:23" ht="11.25" customHeight="1" x14ac:dyDescent="0.2">
      <c r="A100" s="410" t="str">
        <f>'Org structure'!E96</f>
        <v>9.6 - Budget and Financial Reporting</v>
      </c>
      <c r="B100" s="448"/>
      <c r="C100" s="749"/>
      <c r="D100" s="750"/>
      <c r="E100" s="751"/>
      <c r="F100" s="752"/>
      <c r="G100" s="751"/>
      <c r="H100" s="751"/>
      <c r="I100" s="45">
        <f t="shared" si="20"/>
        <v>0</v>
      </c>
      <c r="J100" s="333" t="str">
        <f t="shared" si="21"/>
        <v/>
      </c>
      <c r="K100" s="753">
        <f t="shared" si="27"/>
        <v>0</v>
      </c>
      <c r="L100" s="449"/>
      <c r="M100" s="41"/>
      <c r="N100" s="41"/>
      <c r="O100" s="41"/>
      <c r="P100" s="41"/>
      <c r="Q100" s="41"/>
      <c r="R100" s="41"/>
      <c r="S100" s="41"/>
      <c r="T100" s="41"/>
      <c r="U100" s="41"/>
      <c r="V100" s="41"/>
      <c r="W100" s="41"/>
    </row>
    <row r="101" spans="1:23" ht="11.25" customHeight="1" x14ac:dyDescent="0.2">
      <c r="A101" s="410" t="str">
        <f>'Org structure'!E97</f>
        <v>9.7 - Business and Financial Planning</v>
      </c>
      <c r="B101" s="448"/>
      <c r="C101" s="749">
        <v>0</v>
      </c>
      <c r="D101" s="750">
        <v>996</v>
      </c>
      <c r="E101" s="751">
        <v>996</v>
      </c>
      <c r="F101" s="752">
        <v>0</v>
      </c>
      <c r="G101" s="751">
        <v>0</v>
      </c>
      <c r="H101" s="751">
        <f t="shared" si="18"/>
        <v>415</v>
      </c>
      <c r="I101" s="45">
        <f t="shared" si="20"/>
        <v>-415</v>
      </c>
      <c r="J101" s="333">
        <f t="shared" si="21"/>
        <v>-1</v>
      </c>
      <c r="K101" s="753">
        <f t="shared" si="27"/>
        <v>996</v>
      </c>
      <c r="L101" s="449"/>
      <c r="M101" s="41"/>
      <c r="N101" s="41"/>
      <c r="O101" s="41"/>
      <c r="P101" s="41"/>
      <c r="Q101" s="41"/>
      <c r="R101" s="41"/>
      <c r="S101" s="41"/>
      <c r="T101" s="41"/>
      <c r="U101" s="41"/>
      <c r="V101" s="41"/>
      <c r="W101" s="41"/>
    </row>
    <row r="102" spans="1:23" ht="11.25" customHeight="1" x14ac:dyDescent="0.2">
      <c r="A102" s="410">
        <f>'Org structure'!E98</f>
        <v>0</v>
      </c>
      <c r="B102" s="448"/>
      <c r="C102" s="749">
        <v>0</v>
      </c>
      <c r="D102" s="750">
        <v>0</v>
      </c>
      <c r="E102" s="751">
        <v>0</v>
      </c>
      <c r="F102" s="752">
        <v>0</v>
      </c>
      <c r="G102" s="751">
        <v>0</v>
      </c>
      <c r="H102" s="751">
        <f t="shared" si="18"/>
        <v>0</v>
      </c>
      <c r="I102" s="45">
        <f t="shared" si="20"/>
        <v>0</v>
      </c>
      <c r="J102" s="333" t="str">
        <f t="shared" si="21"/>
        <v/>
      </c>
      <c r="K102" s="753">
        <f t="shared" si="27"/>
        <v>0</v>
      </c>
      <c r="L102" s="449"/>
      <c r="M102" s="41"/>
      <c r="N102" s="41"/>
      <c r="O102" s="41"/>
      <c r="P102" s="41"/>
      <c r="Q102" s="41"/>
      <c r="R102" s="41"/>
      <c r="S102" s="41"/>
      <c r="T102" s="41"/>
      <c r="U102" s="41"/>
      <c r="V102" s="41"/>
      <c r="W102" s="41"/>
    </row>
    <row r="103" spans="1:23" ht="11.25" customHeight="1" x14ac:dyDescent="0.2">
      <c r="A103" s="410">
        <f>'Org structure'!E99</f>
        <v>0</v>
      </c>
      <c r="B103" s="448"/>
      <c r="C103" s="749">
        <v>0</v>
      </c>
      <c r="D103" s="750">
        <v>0</v>
      </c>
      <c r="E103" s="751">
        <v>0</v>
      </c>
      <c r="F103" s="752">
        <v>0</v>
      </c>
      <c r="G103" s="751">
        <v>0</v>
      </c>
      <c r="H103" s="751">
        <f t="shared" si="18"/>
        <v>0</v>
      </c>
      <c r="I103" s="45">
        <f t="shared" si="20"/>
        <v>0</v>
      </c>
      <c r="J103" s="333" t="str">
        <f t="shared" si="21"/>
        <v/>
      </c>
      <c r="K103" s="753">
        <f t="shared" si="27"/>
        <v>0</v>
      </c>
      <c r="L103" s="449"/>
      <c r="M103" s="41"/>
      <c r="N103" s="41"/>
      <c r="O103" s="41"/>
      <c r="P103" s="41"/>
      <c r="Q103" s="41"/>
      <c r="R103" s="41"/>
      <c r="S103" s="41"/>
      <c r="T103" s="41"/>
      <c r="U103" s="41"/>
      <c r="V103" s="41"/>
      <c r="W103" s="41"/>
    </row>
    <row r="104" spans="1:23" ht="11.25" customHeight="1" x14ac:dyDescent="0.2">
      <c r="A104" s="410">
        <f>'Org structure'!E100</f>
        <v>0</v>
      </c>
      <c r="B104" s="448"/>
      <c r="C104" s="749">
        <v>0</v>
      </c>
      <c r="D104" s="750">
        <v>0</v>
      </c>
      <c r="E104" s="751">
        <v>0</v>
      </c>
      <c r="F104" s="752">
        <v>0</v>
      </c>
      <c r="G104" s="751">
        <v>0</v>
      </c>
      <c r="H104" s="751">
        <f t="shared" si="18"/>
        <v>0</v>
      </c>
      <c r="I104" s="45">
        <f t="shared" si="20"/>
        <v>0</v>
      </c>
      <c r="J104" s="333" t="str">
        <f t="shared" si="21"/>
        <v/>
      </c>
      <c r="K104" s="753">
        <f t="shared" si="27"/>
        <v>0</v>
      </c>
      <c r="L104" s="449"/>
      <c r="M104" s="41"/>
      <c r="N104" s="41"/>
      <c r="O104" s="41"/>
      <c r="P104" s="41"/>
      <c r="Q104" s="41"/>
      <c r="R104" s="41"/>
      <c r="S104" s="41"/>
      <c r="T104" s="41"/>
      <c r="U104" s="41"/>
      <c r="V104" s="41"/>
      <c r="W104" s="41"/>
    </row>
    <row r="105" spans="1:23" ht="11.25" customHeight="1" x14ac:dyDescent="0.2">
      <c r="A105" s="469" t="str">
        <f>'Org structure'!A11</f>
        <v>Vote 10 - Transport Services</v>
      </c>
      <c r="B105" s="448"/>
      <c r="C105" s="506">
        <f>SUM(C106:C115)</f>
        <v>75706783.690000013</v>
      </c>
      <c r="D105" s="447">
        <f t="shared" ref="D105:K105" si="28">SUM(D106:D115)</f>
        <v>276972</v>
      </c>
      <c r="E105" s="444">
        <f t="shared" si="28"/>
        <v>276972</v>
      </c>
      <c r="F105" s="446">
        <f t="shared" si="28"/>
        <v>7253463.46</v>
      </c>
      <c r="G105" s="444">
        <f t="shared" si="28"/>
        <v>43510317.07</v>
      </c>
      <c r="H105" s="444">
        <f t="shared" si="28"/>
        <v>115405</v>
      </c>
      <c r="I105" s="45">
        <f t="shared" si="20"/>
        <v>43394912.07</v>
      </c>
      <c r="J105" s="333">
        <f t="shared" si="21"/>
        <v>376.02280724405358</v>
      </c>
      <c r="K105" s="445">
        <f t="shared" si="28"/>
        <v>276972</v>
      </c>
      <c r="L105" s="449"/>
      <c r="M105" s="41"/>
      <c r="N105" s="41"/>
      <c r="O105" s="41"/>
      <c r="P105" s="41"/>
      <c r="Q105" s="41"/>
      <c r="R105" s="41"/>
      <c r="S105" s="41"/>
      <c r="T105" s="41"/>
      <c r="U105" s="41"/>
      <c r="V105" s="41"/>
      <c r="W105" s="41"/>
    </row>
    <row r="106" spans="1:23" ht="11.25" customHeight="1" x14ac:dyDescent="0.2">
      <c r="A106" s="410" t="str">
        <f>'Org structure'!E102</f>
        <v>10.1 - Roads and streets</v>
      </c>
      <c r="B106" s="448"/>
      <c r="C106" s="749">
        <v>7358.67</v>
      </c>
      <c r="D106" s="750">
        <v>269004</v>
      </c>
      <c r="E106" s="751">
        <v>269004</v>
      </c>
      <c r="F106" s="752">
        <v>33000</v>
      </c>
      <c r="G106" s="751">
        <v>79478.27</v>
      </c>
      <c r="H106" s="751">
        <f t="shared" si="18"/>
        <v>112085</v>
      </c>
      <c r="I106" s="45">
        <f t="shared" si="20"/>
        <v>-32606.729999999996</v>
      </c>
      <c r="J106" s="333">
        <f t="shared" si="21"/>
        <v>-0.29091073738680462</v>
      </c>
      <c r="K106" s="753">
        <f t="shared" ref="K106:K115" si="29">D106</f>
        <v>269004</v>
      </c>
      <c r="L106" s="449"/>
      <c r="M106" s="41"/>
      <c r="N106" s="41"/>
      <c r="O106" s="41"/>
      <c r="P106" s="41"/>
      <c r="Q106" s="41"/>
      <c r="R106" s="41"/>
      <c r="S106" s="41"/>
      <c r="T106" s="41"/>
      <c r="U106" s="41"/>
      <c r="V106" s="41"/>
      <c r="W106" s="41"/>
    </row>
    <row r="107" spans="1:23" ht="11.25" customHeight="1" x14ac:dyDescent="0.2">
      <c r="A107" s="410" t="str">
        <f>'Org structure'!E103</f>
        <v>10.2 - Transport Services</v>
      </c>
      <c r="B107" s="448"/>
      <c r="C107" s="749">
        <v>0</v>
      </c>
      <c r="D107" s="750">
        <v>1992</v>
      </c>
      <c r="E107" s="751">
        <v>1992</v>
      </c>
      <c r="F107" s="752">
        <v>0</v>
      </c>
      <c r="G107" s="751">
        <v>0</v>
      </c>
      <c r="H107" s="751">
        <f t="shared" si="18"/>
        <v>830</v>
      </c>
      <c r="I107" s="45">
        <f t="shared" si="20"/>
        <v>-830</v>
      </c>
      <c r="J107" s="333">
        <f t="shared" si="21"/>
        <v>-1</v>
      </c>
      <c r="K107" s="753">
        <f t="shared" si="29"/>
        <v>1992</v>
      </c>
      <c r="L107" s="449"/>
      <c r="M107" s="41"/>
      <c r="N107" s="41"/>
      <c r="O107" s="41"/>
      <c r="P107" s="41"/>
      <c r="Q107" s="41"/>
      <c r="R107" s="41"/>
      <c r="S107" s="41"/>
      <c r="T107" s="41"/>
      <c r="U107" s="41"/>
      <c r="V107" s="41"/>
      <c r="W107" s="41"/>
    </row>
    <row r="108" spans="1:23" ht="11.25" customHeight="1" x14ac:dyDescent="0.2">
      <c r="A108" s="410" t="str">
        <f>'Org structure'!E104</f>
        <v>10.3 - Transport Services (Planning and Operations)</v>
      </c>
      <c r="B108" s="448"/>
      <c r="C108" s="749">
        <v>0</v>
      </c>
      <c r="D108" s="750">
        <v>996</v>
      </c>
      <c r="E108" s="751">
        <v>996</v>
      </c>
      <c r="F108" s="752">
        <v>0</v>
      </c>
      <c r="G108" s="751">
        <v>0</v>
      </c>
      <c r="H108" s="751">
        <f t="shared" si="18"/>
        <v>415</v>
      </c>
      <c r="I108" s="45">
        <f t="shared" si="20"/>
        <v>-415</v>
      </c>
      <c r="J108" s="333">
        <f t="shared" si="21"/>
        <v>-1</v>
      </c>
      <c r="K108" s="753">
        <f t="shared" si="29"/>
        <v>996</v>
      </c>
      <c r="L108" s="449"/>
      <c r="M108" s="41"/>
      <c r="N108" s="41"/>
      <c r="O108" s="41"/>
      <c r="P108" s="41"/>
      <c r="Q108" s="41"/>
      <c r="R108" s="41"/>
      <c r="S108" s="41"/>
      <c r="T108" s="41"/>
      <c r="U108" s="41"/>
      <c r="V108" s="41"/>
      <c r="W108" s="41"/>
    </row>
    <row r="109" spans="1:23" ht="11.25" customHeight="1" x14ac:dyDescent="0.2">
      <c r="A109" s="410" t="str">
        <f>'Org structure'!E105</f>
        <v>10.4 - Transport Services (Intelligent Transport and Operations)</v>
      </c>
      <c r="B109" s="448"/>
      <c r="C109" s="749">
        <v>0</v>
      </c>
      <c r="D109" s="750">
        <v>996</v>
      </c>
      <c r="E109" s="751">
        <v>996</v>
      </c>
      <c r="F109" s="752">
        <v>0</v>
      </c>
      <c r="G109" s="751">
        <v>0</v>
      </c>
      <c r="H109" s="751">
        <f t="shared" si="18"/>
        <v>415</v>
      </c>
      <c r="I109" s="45">
        <f t="shared" si="20"/>
        <v>-415</v>
      </c>
      <c r="J109" s="333">
        <f t="shared" si="21"/>
        <v>-1</v>
      </c>
      <c r="K109" s="753">
        <f t="shared" si="29"/>
        <v>996</v>
      </c>
      <c r="L109" s="449"/>
      <c r="M109" s="41"/>
      <c r="N109" s="41"/>
      <c r="O109" s="41"/>
      <c r="P109" s="41"/>
      <c r="Q109" s="41"/>
      <c r="R109" s="41"/>
      <c r="S109" s="41"/>
      <c r="T109" s="41"/>
      <c r="U109" s="41"/>
      <c r="V109" s="41"/>
      <c r="W109" s="41"/>
    </row>
    <row r="110" spans="1:23" ht="11.25" customHeight="1" x14ac:dyDescent="0.2">
      <c r="A110" s="410" t="str">
        <f>'Org structure'!E106</f>
        <v>10.5 - Transport Services (Public Transport Regulation and Moitoring)</v>
      </c>
      <c r="B110" s="448"/>
      <c r="C110" s="749">
        <v>0</v>
      </c>
      <c r="D110" s="750">
        <v>996</v>
      </c>
      <c r="E110" s="751">
        <v>996</v>
      </c>
      <c r="F110" s="752">
        <v>7220463.46</v>
      </c>
      <c r="G110" s="751">
        <v>43430838.799999997</v>
      </c>
      <c r="H110" s="751">
        <f t="shared" si="18"/>
        <v>415</v>
      </c>
      <c r="I110" s="45">
        <f t="shared" si="20"/>
        <v>43430423.799999997</v>
      </c>
      <c r="J110" s="333">
        <f t="shared" si="21"/>
        <v>104651.62361445783</v>
      </c>
      <c r="K110" s="753">
        <f t="shared" si="29"/>
        <v>996</v>
      </c>
      <c r="L110" s="449"/>
      <c r="M110" s="41"/>
      <c r="N110" s="41"/>
      <c r="O110" s="41"/>
      <c r="P110" s="41"/>
      <c r="Q110" s="41"/>
      <c r="R110" s="41"/>
      <c r="S110" s="41"/>
      <c r="T110" s="41"/>
      <c r="U110" s="41"/>
      <c r="V110" s="41"/>
      <c r="W110" s="41"/>
    </row>
    <row r="111" spans="1:23" ht="11.25" customHeight="1" x14ac:dyDescent="0.2">
      <c r="A111" s="410" t="str">
        <f>'Org structure'!E107</f>
        <v>10.6 - Roads and Stormwater (administration)</v>
      </c>
      <c r="B111" s="448"/>
      <c r="C111" s="749">
        <v>75698862.590000004</v>
      </c>
      <c r="D111" s="750">
        <v>996</v>
      </c>
      <c r="E111" s="751">
        <v>996</v>
      </c>
      <c r="F111" s="752">
        <v>0</v>
      </c>
      <c r="G111" s="751">
        <v>0</v>
      </c>
      <c r="H111" s="751">
        <f t="shared" si="18"/>
        <v>415</v>
      </c>
      <c r="I111" s="45">
        <f t="shared" si="20"/>
        <v>-415</v>
      </c>
      <c r="J111" s="333">
        <f t="shared" si="21"/>
        <v>-1</v>
      </c>
      <c r="K111" s="753">
        <f t="shared" si="29"/>
        <v>996</v>
      </c>
      <c r="L111" s="449"/>
      <c r="M111" s="41"/>
      <c r="N111" s="41"/>
      <c r="O111" s="41"/>
      <c r="P111" s="41"/>
      <c r="Q111" s="41"/>
      <c r="R111" s="41"/>
      <c r="S111" s="41"/>
      <c r="T111" s="41"/>
      <c r="U111" s="41"/>
      <c r="V111" s="41"/>
      <c r="W111" s="41"/>
    </row>
    <row r="112" spans="1:23" ht="11.25" customHeight="1" x14ac:dyDescent="0.2">
      <c r="A112" s="410" t="str">
        <f>'Org structure'!E108</f>
        <v>10.7 - Storm Water Management and Traffic engineering</v>
      </c>
      <c r="B112" s="448"/>
      <c r="C112" s="749">
        <v>0</v>
      </c>
      <c r="D112" s="750">
        <v>996</v>
      </c>
      <c r="E112" s="751">
        <v>996</v>
      </c>
      <c r="F112" s="752">
        <v>0</v>
      </c>
      <c r="G112" s="751">
        <v>0</v>
      </c>
      <c r="H112" s="751">
        <f t="shared" si="18"/>
        <v>415</v>
      </c>
      <c r="I112" s="45">
        <f t="shared" si="20"/>
        <v>-415</v>
      </c>
      <c r="J112" s="333">
        <f t="shared" si="21"/>
        <v>-1</v>
      </c>
      <c r="K112" s="753">
        <f t="shared" si="29"/>
        <v>996</v>
      </c>
      <c r="L112" s="449"/>
      <c r="M112" s="41"/>
      <c r="N112" s="41"/>
      <c r="O112" s="41"/>
      <c r="P112" s="41"/>
      <c r="Q112" s="41"/>
      <c r="R112" s="41"/>
      <c r="S112" s="41"/>
      <c r="T112" s="41"/>
      <c r="U112" s="41"/>
      <c r="V112" s="41"/>
      <c r="W112" s="41"/>
    </row>
    <row r="113" spans="1:23" ht="11.25" customHeight="1" x14ac:dyDescent="0.2">
      <c r="A113" s="410" t="str">
        <f>'Org structure'!E109</f>
        <v>10.8 - Roads and Stormwater (Roads and Streets)</v>
      </c>
      <c r="B113" s="448"/>
      <c r="C113" s="749">
        <v>0</v>
      </c>
      <c r="D113" s="750">
        <v>0</v>
      </c>
      <c r="E113" s="751">
        <v>0</v>
      </c>
      <c r="F113" s="752">
        <v>0</v>
      </c>
      <c r="G113" s="751">
        <v>0</v>
      </c>
      <c r="H113" s="751">
        <f t="shared" si="18"/>
        <v>0</v>
      </c>
      <c r="I113" s="45">
        <f t="shared" si="20"/>
        <v>0</v>
      </c>
      <c r="J113" s="333" t="str">
        <f t="shared" si="21"/>
        <v/>
      </c>
      <c r="K113" s="753">
        <f t="shared" si="29"/>
        <v>0</v>
      </c>
      <c r="L113" s="449"/>
      <c r="M113" s="41"/>
      <c r="N113" s="41"/>
      <c r="O113" s="41"/>
      <c r="P113" s="41"/>
      <c r="Q113" s="41"/>
      <c r="R113" s="41"/>
      <c r="S113" s="41"/>
      <c r="T113" s="41"/>
      <c r="U113" s="41"/>
      <c r="V113" s="41"/>
      <c r="W113" s="41"/>
    </row>
    <row r="114" spans="1:23" ht="11.25" customHeight="1" x14ac:dyDescent="0.2">
      <c r="A114" s="410" t="str">
        <f>'Org structure'!E110</f>
        <v>10.9 - Roads and Stormwater (Stormwater)</v>
      </c>
      <c r="B114" s="448"/>
      <c r="C114" s="749">
        <v>562.42999999999995</v>
      </c>
      <c r="D114" s="750">
        <v>996</v>
      </c>
      <c r="E114" s="751">
        <v>996</v>
      </c>
      <c r="F114" s="752">
        <v>0</v>
      </c>
      <c r="G114" s="751">
        <v>0</v>
      </c>
      <c r="H114" s="751">
        <f t="shared" si="18"/>
        <v>415</v>
      </c>
      <c r="I114" s="45">
        <f t="shared" si="20"/>
        <v>-415</v>
      </c>
      <c r="J114" s="333">
        <f t="shared" si="21"/>
        <v>-1</v>
      </c>
      <c r="K114" s="753">
        <f t="shared" si="29"/>
        <v>996</v>
      </c>
      <c r="L114" s="449"/>
      <c r="M114" s="41"/>
      <c r="N114" s="41"/>
      <c r="O114" s="41"/>
      <c r="P114" s="41"/>
      <c r="Q114" s="41"/>
      <c r="R114" s="41"/>
      <c r="S114" s="41"/>
      <c r="T114" s="41"/>
      <c r="U114" s="41"/>
      <c r="V114" s="41"/>
      <c r="W114" s="41"/>
    </row>
    <row r="115" spans="1:23" ht="11.25" customHeight="1" x14ac:dyDescent="0.2">
      <c r="A115" s="410">
        <f>'Org structure'!E111</f>
        <v>0</v>
      </c>
      <c r="B115" s="448"/>
      <c r="C115" s="749">
        <v>0</v>
      </c>
      <c r="D115" s="750">
        <v>0</v>
      </c>
      <c r="E115" s="751">
        <v>0</v>
      </c>
      <c r="F115" s="752">
        <v>0</v>
      </c>
      <c r="G115" s="751">
        <v>0</v>
      </c>
      <c r="H115" s="751">
        <f t="shared" si="18"/>
        <v>0</v>
      </c>
      <c r="I115" s="45">
        <f t="shared" si="20"/>
        <v>0</v>
      </c>
      <c r="J115" s="333" t="str">
        <f t="shared" si="21"/>
        <v/>
      </c>
      <c r="K115" s="753">
        <f t="shared" si="29"/>
        <v>0</v>
      </c>
      <c r="L115" s="449"/>
      <c r="M115" s="41"/>
      <c r="N115" s="41"/>
      <c r="O115" s="41"/>
      <c r="P115" s="41"/>
      <c r="Q115" s="41"/>
      <c r="R115" s="41"/>
      <c r="S115" s="41"/>
      <c r="T115" s="41"/>
      <c r="U115" s="41"/>
      <c r="V115" s="41"/>
      <c r="W115" s="41"/>
    </row>
    <row r="116" spans="1:23" ht="11.25" customHeight="1" x14ac:dyDescent="0.2">
      <c r="A116" s="820" t="str">
        <f>'Org structure'!A12</f>
        <v>Vote 11 - Human Settlement</v>
      </c>
      <c r="B116" s="448"/>
      <c r="C116" s="506">
        <f>SUM(C117:C126)</f>
        <v>305517.13</v>
      </c>
      <c r="D116" s="447">
        <f t="shared" ref="D116:K116" si="30">SUM(D117:D126)</f>
        <v>8857992</v>
      </c>
      <c r="E116" s="444">
        <f t="shared" si="30"/>
        <v>8857992</v>
      </c>
      <c r="F116" s="446">
        <f t="shared" si="30"/>
        <v>90654.94</v>
      </c>
      <c r="G116" s="444">
        <f t="shared" si="30"/>
        <v>436622.3</v>
      </c>
      <c r="H116" s="444">
        <f t="shared" si="30"/>
        <v>3690830</v>
      </c>
      <c r="I116" s="45">
        <f t="shared" si="20"/>
        <v>-3254207.7</v>
      </c>
      <c r="J116" s="333">
        <f t="shared" si="21"/>
        <v>-0.88170078275076347</v>
      </c>
      <c r="K116" s="445">
        <f t="shared" si="30"/>
        <v>8857992</v>
      </c>
      <c r="L116" s="449"/>
      <c r="M116" s="41"/>
      <c r="N116" s="41"/>
      <c r="O116" s="41"/>
      <c r="P116" s="41"/>
      <c r="Q116" s="41"/>
      <c r="R116" s="41"/>
      <c r="S116" s="41"/>
      <c r="T116" s="41"/>
      <c r="U116" s="41"/>
      <c r="V116" s="41"/>
      <c r="W116" s="41"/>
    </row>
    <row r="117" spans="1:23" ht="11.25" customHeight="1" x14ac:dyDescent="0.2">
      <c r="A117" s="819" t="str">
        <f>'Org structure'!E113</f>
        <v>11.1 - Human Settlement</v>
      </c>
      <c r="B117" s="448"/>
      <c r="C117" s="749">
        <v>0</v>
      </c>
      <c r="D117" s="750">
        <v>996</v>
      </c>
      <c r="E117" s="751">
        <v>996</v>
      </c>
      <c r="F117" s="752">
        <v>0</v>
      </c>
      <c r="G117" s="751">
        <v>0</v>
      </c>
      <c r="H117" s="751">
        <f t="shared" si="18"/>
        <v>415</v>
      </c>
      <c r="I117" s="45">
        <f t="shared" si="20"/>
        <v>-415</v>
      </c>
      <c r="J117" s="333">
        <f t="shared" si="21"/>
        <v>-1</v>
      </c>
      <c r="K117" s="753">
        <f>D117</f>
        <v>996</v>
      </c>
      <c r="L117" s="449"/>
      <c r="M117" s="41"/>
      <c r="N117" s="41"/>
      <c r="O117" s="41"/>
      <c r="P117" s="41"/>
      <c r="Q117" s="41"/>
      <c r="R117" s="41"/>
      <c r="S117" s="41"/>
      <c r="T117" s="41"/>
      <c r="U117" s="41"/>
      <c r="V117" s="41"/>
      <c r="W117" s="41"/>
    </row>
    <row r="118" spans="1:23" ht="11.25" customHeight="1" x14ac:dyDescent="0.2">
      <c r="A118" s="819" t="str">
        <f>'Org structure'!E114</f>
        <v>11.2 - Human Settlement - Housing Adimistration</v>
      </c>
      <c r="B118" s="448"/>
      <c r="C118" s="749">
        <v>305517.13</v>
      </c>
      <c r="D118" s="750">
        <v>996</v>
      </c>
      <c r="E118" s="751">
        <v>996</v>
      </c>
      <c r="F118" s="752">
        <v>90654.94</v>
      </c>
      <c r="G118" s="751">
        <v>436622.3</v>
      </c>
      <c r="H118" s="751">
        <f t="shared" si="18"/>
        <v>415</v>
      </c>
      <c r="I118" s="45">
        <f t="shared" si="20"/>
        <v>436207.3</v>
      </c>
      <c r="J118" s="333">
        <f t="shared" si="21"/>
        <v>1051.1019277108433</v>
      </c>
      <c r="K118" s="753">
        <f>D118</f>
        <v>996</v>
      </c>
      <c r="L118" s="449"/>
      <c r="M118" s="41"/>
      <c r="N118" s="41"/>
      <c r="O118" s="41"/>
      <c r="P118" s="41"/>
      <c r="Q118" s="41"/>
      <c r="R118" s="41"/>
      <c r="S118" s="41"/>
      <c r="T118" s="41"/>
      <c r="U118" s="41"/>
      <c r="V118" s="41"/>
      <c r="W118" s="41"/>
    </row>
    <row r="119" spans="1:23" ht="11.25" customHeight="1" x14ac:dyDescent="0.2">
      <c r="A119" s="819" t="str">
        <f>'Org structure'!E115</f>
        <v>11.3 - Human Settlement Rental Hosing and Programme Implemantation</v>
      </c>
      <c r="B119" s="448"/>
      <c r="C119" s="749">
        <v>0</v>
      </c>
      <c r="D119" s="750">
        <v>8856000</v>
      </c>
      <c r="E119" s="751">
        <v>8856000</v>
      </c>
      <c r="F119" s="752">
        <v>0</v>
      </c>
      <c r="G119" s="751">
        <v>0</v>
      </c>
      <c r="H119" s="751">
        <f t="shared" si="18"/>
        <v>3690000</v>
      </c>
      <c r="I119" s="45">
        <f t="shared" si="20"/>
        <v>-3690000</v>
      </c>
      <c r="J119" s="333">
        <f t="shared" si="21"/>
        <v>-1</v>
      </c>
      <c r="K119" s="753">
        <f>D119</f>
        <v>8856000</v>
      </c>
      <c r="L119" s="449"/>
      <c r="M119" s="41"/>
      <c r="N119" s="41"/>
      <c r="O119" s="41"/>
      <c r="P119" s="41"/>
      <c r="Q119" s="41"/>
      <c r="R119" s="41"/>
      <c r="S119" s="41"/>
      <c r="T119" s="41"/>
      <c r="U119" s="41"/>
      <c r="V119" s="41"/>
      <c r="W119" s="41"/>
    </row>
    <row r="120" spans="1:23" ht="11.25" customHeight="1" x14ac:dyDescent="0.2">
      <c r="A120" s="819">
        <f>'Org structure'!E116</f>
        <v>0</v>
      </c>
      <c r="B120" s="448"/>
      <c r="C120" s="749">
        <v>0</v>
      </c>
      <c r="D120" s="750">
        <v>0</v>
      </c>
      <c r="E120" s="751">
        <v>0</v>
      </c>
      <c r="F120" s="752">
        <v>0</v>
      </c>
      <c r="G120" s="751">
        <v>0</v>
      </c>
      <c r="H120" s="751">
        <f t="shared" si="18"/>
        <v>0</v>
      </c>
      <c r="I120" s="45">
        <f t="shared" si="20"/>
        <v>0</v>
      </c>
      <c r="J120" s="333" t="str">
        <f t="shared" si="21"/>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v>0</v>
      </c>
      <c r="D121" s="750">
        <v>0</v>
      </c>
      <c r="E121" s="751">
        <v>0</v>
      </c>
      <c r="F121" s="752">
        <v>0</v>
      </c>
      <c r="G121" s="751">
        <v>0</v>
      </c>
      <c r="H121" s="751">
        <f t="shared" si="18"/>
        <v>0</v>
      </c>
      <c r="I121" s="45">
        <f t="shared" si="20"/>
        <v>0</v>
      </c>
      <c r="J121" s="333" t="str">
        <f t="shared" si="21"/>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v>0</v>
      </c>
      <c r="D122" s="750">
        <v>0</v>
      </c>
      <c r="E122" s="751">
        <v>0</v>
      </c>
      <c r="F122" s="752">
        <v>0</v>
      </c>
      <c r="G122" s="751">
        <v>0</v>
      </c>
      <c r="H122" s="751">
        <f t="shared" si="18"/>
        <v>0</v>
      </c>
      <c r="I122" s="45">
        <f t="shared" si="20"/>
        <v>0</v>
      </c>
      <c r="J122" s="333" t="str">
        <f t="shared" si="21"/>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v>0</v>
      </c>
      <c r="D123" s="750">
        <v>0</v>
      </c>
      <c r="E123" s="751">
        <v>0</v>
      </c>
      <c r="F123" s="752">
        <v>0</v>
      </c>
      <c r="G123" s="751">
        <v>0</v>
      </c>
      <c r="H123" s="751">
        <f t="shared" si="18"/>
        <v>0</v>
      </c>
      <c r="I123" s="45">
        <f t="shared" si="20"/>
        <v>0</v>
      </c>
      <c r="J123" s="333" t="str">
        <f t="shared" si="21"/>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v>0</v>
      </c>
      <c r="D124" s="750">
        <v>0</v>
      </c>
      <c r="E124" s="751">
        <v>0</v>
      </c>
      <c r="F124" s="752">
        <v>0</v>
      </c>
      <c r="G124" s="751">
        <v>0</v>
      </c>
      <c r="H124" s="751">
        <f t="shared" si="18"/>
        <v>0</v>
      </c>
      <c r="I124" s="45">
        <f t="shared" si="20"/>
        <v>0</v>
      </c>
      <c r="J124" s="333" t="str">
        <f t="shared" si="21"/>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v>0</v>
      </c>
      <c r="D125" s="750">
        <v>0</v>
      </c>
      <c r="E125" s="751">
        <v>0</v>
      </c>
      <c r="F125" s="752">
        <v>0</v>
      </c>
      <c r="G125" s="751">
        <v>0</v>
      </c>
      <c r="H125" s="751">
        <f t="shared" si="18"/>
        <v>0</v>
      </c>
      <c r="I125" s="45">
        <f t="shared" si="20"/>
        <v>0</v>
      </c>
      <c r="J125" s="333" t="str">
        <f t="shared" si="21"/>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v>0</v>
      </c>
      <c r="D126" s="750">
        <v>0</v>
      </c>
      <c r="E126" s="751">
        <v>0</v>
      </c>
      <c r="F126" s="752">
        <v>0</v>
      </c>
      <c r="G126" s="751">
        <v>0</v>
      </c>
      <c r="H126" s="751">
        <f t="shared" ref="H126" si="31">E126/12*5</f>
        <v>0</v>
      </c>
      <c r="I126" s="45">
        <f t="shared" si="20"/>
        <v>0</v>
      </c>
      <c r="J126" s="333" t="str">
        <f t="shared" si="21"/>
        <v/>
      </c>
      <c r="K126" s="753"/>
      <c r="L126" s="449"/>
      <c r="M126" s="41"/>
      <c r="N126" s="41"/>
      <c r="O126" s="41"/>
      <c r="P126" s="41"/>
      <c r="Q126" s="41"/>
      <c r="R126" s="41"/>
      <c r="S126" s="41"/>
      <c r="T126" s="41"/>
      <c r="U126" s="41"/>
      <c r="V126" s="41"/>
      <c r="W126" s="41"/>
    </row>
    <row r="127" spans="1:23" ht="11.25" customHeight="1" x14ac:dyDescent="0.2">
      <c r="A127" s="820" t="str">
        <f>'Org structure'!A13</f>
        <v xml:space="preserve">Vote 12 - </v>
      </c>
      <c r="B127" s="448"/>
      <c r="C127" s="506">
        <f>SUM(C128:C137)</f>
        <v>0</v>
      </c>
      <c r="D127" s="447">
        <f t="shared" ref="D127:K127" si="32">SUM(D128:D137)</f>
        <v>0</v>
      </c>
      <c r="E127" s="444">
        <f t="shared" si="32"/>
        <v>0</v>
      </c>
      <c r="F127" s="446">
        <f t="shared" si="32"/>
        <v>0</v>
      </c>
      <c r="G127" s="444">
        <f t="shared" si="32"/>
        <v>0</v>
      </c>
      <c r="H127" s="444">
        <f t="shared" si="32"/>
        <v>0</v>
      </c>
      <c r="I127" s="45">
        <f t="shared" si="20"/>
        <v>0</v>
      </c>
      <c r="J127" s="333" t="str">
        <f t="shared" si="21"/>
        <v/>
      </c>
      <c r="K127" s="445">
        <f t="shared" si="32"/>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v>0</v>
      </c>
      <c r="E128" s="751">
        <v>0</v>
      </c>
      <c r="F128" s="752">
        <v>0</v>
      </c>
      <c r="G128" s="751">
        <v>0</v>
      </c>
      <c r="H128" s="751">
        <f t="shared" ref="H128:H135" si="33">D128/12*7</f>
        <v>0</v>
      </c>
      <c r="I128" s="45">
        <f t="shared" si="20"/>
        <v>0</v>
      </c>
      <c r="J128" s="333" t="str">
        <f t="shared" si="21"/>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v>0</v>
      </c>
      <c r="E129" s="751">
        <v>0</v>
      </c>
      <c r="F129" s="752">
        <v>0</v>
      </c>
      <c r="G129" s="751">
        <v>0</v>
      </c>
      <c r="H129" s="751">
        <f t="shared" si="33"/>
        <v>0</v>
      </c>
      <c r="I129" s="45">
        <f t="shared" si="20"/>
        <v>0</v>
      </c>
      <c r="J129" s="333" t="str">
        <f t="shared" si="21"/>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v>0</v>
      </c>
      <c r="E130" s="751">
        <v>0</v>
      </c>
      <c r="F130" s="752">
        <v>0</v>
      </c>
      <c r="G130" s="751">
        <v>0</v>
      </c>
      <c r="H130" s="751">
        <f t="shared" si="33"/>
        <v>0</v>
      </c>
      <c r="I130" s="45">
        <f t="shared" si="20"/>
        <v>0</v>
      </c>
      <c r="J130" s="333" t="str">
        <f t="shared" si="21"/>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v>0</v>
      </c>
      <c r="E131" s="751">
        <v>0</v>
      </c>
      <c r="F131" s="752">
        <v>0</v>
      </c>
      <c r="G131" s="751">
        <v>0</v>
      </c>
      <c r="H131" s="751">
        <f t="shared" si="33"/>
        <v>0</v>
      </c>
      <c r="I131" s="45">
        <f t="shared" si="20"/>
        <v>0</v>
      </c>
      <c r="J131" s="333" t="str">
        <f t="shared" si="21"/>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v>0</v>
      </c>
      <c r="E132" s="751">
        <v>0</v>
      </c>
      <c r="F132" s="752">
        <v>0</v>
      </c>
      <c r="G132" s="751">
        <v>0</v>
      </c>
      <c r="H132" s="751">
        <f t="shared" si="33"/>
        <v>0</v>
      </c>
      <c r="I132" s="45">
        <f t="shared" si="20"/>
        <v>0</v>
      </c>
      <c r="J132" s="333" t="str">
        <f t="shared" si="21"/>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v>0</v>
      </c>
      <c r="E133" s="751">
        <v>0</v>
      </c>
      <c r="F133" s="752">
        <v>0</v>
      </c>
      <c r="G133" s="751">
        <v>0</v>
      </c>
      <c r="H133" s="751">
        <f t="shared" si="33"/>
        <v>0</v>
      </c>
      <c r="I133" s="45">
        <f t="shared" si="20"/>
        <v>0</v>
      </c>
      <c r="J133" s="333" t="str">
        <f t="shared" si="21"/>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v>0</v>
      </c>
      <c r="E134" s="751">
        <v>0</v>
      </c>
      <c r="F134" s="752">
        <v>0</v>
      </c>
      <c r="G134" s="751">
        <v>0</v>
      </c>
      <c r="H134" s="751">
        <f t="shared" si="33"/>
        <v>0</v>
      </c>
      <c r="I134" s="45">
        <f t="shared" ref="I134:I197" si="34">G134-H134</f>
        <v>0</v>
      </c>
      <c r="J134" s="333" t="str">
        <f t="shared" ref="J134:J197" si="35">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v>0</v>
      </c>
      <c r="E135" s="751">
        <v>0</v>
      </c>
      <c r="F135" s="752">
        <v>0</v>
      </c>
      <c r="G135" s="751">
        <v>0</v>
      </c>
      <c r="H135" s="751">
        <f t="shared" si="33"/>
        <v>0</v>
      </c>
      <c r="I135" s="45">
        <f t="shared" si="34"/>
        <v>0</v>
      </c>
      <c r="J135" s="333" t="str">
        <f t="shared" si="35"/>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v>0</v>
      </c>
      <c r="E136" s="751">
        <v>0</v>
      </c>
      <c r="F136" s="752">
        <v>0</v>
      </c>
      <c r="G136" s="751">
        <v>0</v>
      </c>
      <c r="H136" s="751">
        <f t="shared" ref="H136:H173" si="36">D136/12*7</f>
        <v>0</v>
      </c>
      <c r="I136" s="45">
        <f t="shared" si="34"/>
        <v>0</v>
      </c>
      <c r="J136" s="333" t="str">
        <f t="shared" si="35"/>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v>0</v>
      </c>
      <c r="E137" s="751">
        <v>0</v>
      </c>
      <c r="F137" s="752">
        <v>0</v>
      </c>
      <c r="G137" s="751">
        <v>0</v>
      </c>
      <c r="H137" s="751">
        <f t="shared" si="36"/>
        <v>0</v>
      </c>
      <c r="I137" s="45">
        <f t="shared" si="34"/>
        <v>0</v>
      </c>
      <c r="J137" s="333" t="str">
        <f t="shared" si="35"/>
        <v/>
      </c>
      <c r="K137" s="753"/>
      <c r="L137" s="449"/>
      <c r="M137" s="41"/>
      <c r="N137" s="41"/>
      <c r="O137" s="41"/>
      <c r="P137" s="41"/>
      <c r="Q137" s="41"/>
      <c r="R137" s="41"/>
      <c r="S137" s="41"/>
      <c r="T137" s="41"/>
      <c r="U137" s="41"/>
      <c r="V137" s="41"/>
      <c r="W137" s="41"/>
    </row>
    <row r="138" spans="1:23" ht="11.25" customHeight="1" x14ac:dyDescent="0.2">
      <c r="A138" s="820" t="str">
        <f>'Org structure'!A14</f>
        <v xml:space="preserve">Vote 13 - </v>
      </c>
      <c r="B138" s="448"/>
      <c r="C138" s="506">
        <f>SUM(C139:C148)</f>
        <v>0</v>
      </c>
      <c r="D138" s="447">
        <f t="shared" ref="D138:K138" si="37">SUM(D139:D148)</f>
        <v>0</v>
      </c>
      <c r="E138" s="444">
        <f t="shared" si="37"/>
        <v>0</v>
      </c>
      <c r="F138" s="446">
        <f t="shared" si="37"/>
        <v>0</v>
      </c>
      <c r="G138" s="444">
        <f t="shared" si="37"/>
        <v>0</v>
      </c>
      <c r="H138" s="444">
        <f t="shared" si="37"/>
        <v>0</v>
      </c>
      <c r="I138" s="45">
        <f t="shared" si="34"/>
        <v>0</v>
      </c>
      <c r="J138" s="333" t="str">
        <f t="shared" si="35"/>
        <v/>
      </c>
      <c r="K138" s="445">
        <f t="shared" si="37"/>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v>0</v>
      </c>
      <c r="E139" s="751">
        <v>0</v>
      </c>
      <c r="F139" s="752">
        <v>0</v>
      </c>
      <c r="G139" s="751">
        <v>0</v>
      </c>
      <c r="H139" s="751">
        <f t="shared" si="36"/>
        <v>0</v>
      </c>
      <c r="I139" s="45">
        <f t="shared" si="34"/>
        <v>0</v>
      </c>
      <c r="J139" s="333" t="str">
        <f t="shared" si="35"/>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v>0</v>
      </c>
      <c r="E140" s="751">
        <v>0</v>
      </c>
      <c r="F140" s="752">
        <v>0</v>
      </c>
      <c r="G140" s="751">
        <v>0</v>
      </c>
      <c r="H140" s="751">
        <f t="shared" si="36"/>
        <v>0</v>
      </c>
      <c r="I140" s="45">
        <f t="shared" si="34"/>
        <v>0</v>
      </c>
      <c r="J140" s="333" t="str">
        <f t="shared" si="35"/>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v>0</v>
      </c>
      <c r="E141" s="751">
        <v>0</v>
      </c>
      <c r="F141" s="752">
        <v>0</v>
      </c>
      <c r="G141" s="751">
        <v>0</v>
      </c>
      <c r="H141" s="751">
        <f t="shared" si="36"/>
        <v>0</v>
      </c>
      <c r="I141" s="45">
        <f t="shared" si="34"/>
        <v>0</v>
      </c>
      <c r="J141" s="333" t="str">
        <f t="shared" si="35"/>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v>0</v>
      </c>
      <c r="E142" s="751">
        <v>0</v>
      </c>
      <c r="F142" s="752">
        <v>0</v>
      </c>
      <c r="G142" s="751">
        <v>0</v>
      </c>
      <c r="H142" s="751">
        <f t="shared" si="36"/>
        <v>0</v>
      </c>
      <c r="I142" s="45">
        <f t="shared" si="34"/>
        <v>0</v>
      </c>
      <c r="J142" s="333" t="str">
        <f t="shared" si="35"/>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v>0</v>
      </c>
      <c r="E143" s="751">
        <v>0</v>
      </c>
      <c r="F143" s="752">
        <v>0</v>
      </c>
      <c r="G143" s="751">
        <v>0</v>
      </c>
      <c r="H143" s="751">
        <f t="shared" si="36"/>
        <v>0</v>
      </c>
      <c r="I143" s="45">
        <f t="shared" si="34"/>
        <v>0</v>
      </c>
      <c r="J143" s="333" t="str">
        <f t="shared" si="35"/>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v>0</v>
      </c>
      <c r="E144" s="751">
        <v>0</v>
      </c>
      <c r="F144" s="752">
        <v>0</v>
      </c>
      <c r="G144" s="751">
        <v>0</v>
      </c>
      <c r="H144" s="751">
        <f t="shared" si="36"/>
        <v>0</v>
      </c>
      <c r="I144" s="45">
        <f t="shared" si="34"/>
        <v>0</v>
      </c>
      <c r="J144" s="333" t="str">
        <f t="shared" si="35"/>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v>0</v>
      </c>
      <c r="E145" s="751">
        <v>0</v>
      </c>
      <c r="F145" s="752">
        <v>0</v>
      </c>
      <c r="G145" s="751">
        <v>0</v>
      </c>
      <c r="H145" s="751">
        <f t="shared" si="36"/>
        <v>0</v>
      </c>
      <c r="I145" s="45">
        <f t="shared" si="34"/>
        <v>0</v>
      </c>
      <c r="J145" s="333" t="str">
        <f t="shared" si="35"/>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v>0</v>
      </c>
      <c r="E146" s="751">
        <v>0</v>
      </c>
      <c r="F146" s="752">
        <v>0</v>
      </c>
      <c r="G146" s="751">
        <v>0</v>
      </c>
      <c r="H146" s="751">
        <f t="shared" si="36"/>
        <v>0</v>
      </c>
      <c r="I146" s="45">
        <f t="shared" si="34"/>
        <v>0</v>
      </c>
      <c r="J146" s="333" t="str">
        <f t="shared" si="35"/>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v>0</v>
      </c>
      <c r="E147" s="751">
        <v>0</v>
      </c>
      <c r="F147" s="752">
        <v>0</v>
      </c>
      <c r="G147" s="751">
        <v>0</v>
      </c>
      <c r="H147" s="751">
        <f t="shared" si="36"/>
        <v>0</v>
      </c>
      <c r="I147" s="45">
        <f t="shared" si="34"/>
        <v>0</v>
      </c>
      <c r="J147" s="333" t="str">
        <f t="shared" si="35"/>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v>0</v>
      </c>
      <c r="E148" s="751">
        <v>0</v>
      </c>
      <c r="F148" s="752">
        <v>0</v>
      </c>
      <c r="G148" s="751">
        <v>0</v>
      </c>
      <c r="H148" s="751">
        <f t="shared" si="36"/>
        <v>0</v>
      </c>
      <c r="I148" s="45">
        <f t="shared" si="34"/>
        <v>0</v>
      </c>
      <c r="J148" s="333" t="str">
        <f t="shared" si="35"/>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38">SUM(D150:D159)</f>
        <v>0</v>
      </c>
      <c r="E149" s="444">
        <f t="shared" si="38"/>
        <v>0</v>
      </c>
      <c r="F149" s="446">
        <f t="shared" si="38"/>
        <v>0</v>
      </c>
      <c r="G149" s="444">
        <f t="shared" si="38"/>
        <v>0</v>
      </c>
      <c r="H149" s="444">
        <f t="shared" si="38"/>
        <v>0</v>
      </c>
      <c r="I149" s="45">
        <f t="shared" si="34"/>
        <v>0</v>
      </c>
      <c r="J149" s="333" t="str">
        <f t="shared" si="35"/>
        <v/>
      </c>
      <c r="K149" s="445">
        <f t="shared" si="38"/>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v>0</v>
      </c>
      <c r="E150" s="751">
        <v>0</v>
      </c>
      <c r="F150" s="752">
        <v>0</v>
      </c>
      <c r="G150" s="751">
        <v>0</v>
      </c>
      <c r="H150" s="751">
        <f t="shared" si="36"/>
        <v>0</v>
      </c>
      <c r="I150" s="45">
        <f t="shared" si="34"/>
        <v>0</v>
      </c>
      <c r="J150" s="333" t="str">
        <f t="shared" si="35"/>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v>0</v>
      </c>
      <c r="E151" s="751">
        <v>0</v>
      </c>
      <c r="F151" s="752">
        <v>0</v>
      </c>
      <c r="G151" s="751">
        <v>0</v>
      </c>
      <c r="H151" s="751">
        <f t="shared" si="36"/>
        <v>0</v>
      </c>
      <c r="I151" s="45">
        <f t="shared" si="34"/>
        <v>0</v>
      </c>
      <c r="J151" s="333" t="str">
        <f t="shared" si="35"/>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v>0</v>
      </c>
      <c r="E152" s="751">
        <v>0</v>
      </c>
      <c r="F152" s="752">
        <v>0</v>
      </c>
      <c r="G152" s="751">
        <v>0</v>
      </c>
      <c r="H152" s="751">
        <f t="shared" si="36"/>
        <v>0</v>
      </c>
      <c r="I152" s="45">
        <f t="shared" si="34"/>
        <v>0</v>
      </c>
      <c r="J152" s="333" t="str">
        <f t="shared" si="35"/>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v>0</v>
      </c>
      <c r="E153" s="751">
        <v>0</v>
      </c>
      <c r="F153" s="752">
        <v>0</v>
      </c>
      <c r="G153" s="751">
        <v>0</v>
      </c>
      <c r="H153" s="751">
        <f t="shared" si="36"/>
        <v>0</v>
      </c>
      <c r="I153" s="45">
        <f t="shared" si="34"/>
        <v>0</v>
      </c>
      <c r="J153" s="333" t="str">
        <f t="shared" si="35"/>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v>0</v>
      </c>
      <c r="E154" s="751">
        <v>0</v>
      </c>
      <c r="F154" s="752">
        <v>0</v>
      </c>
      <c r="G154" s="751">
        <v>0</v>
      </c>
      <c r="H154" s="751">
        <f t="shared" si="36"/>
        <v>0</v>
      </c>
      <c r="I154" s="45">
        <f t="shared" si="34"/>
        <v>0</v>
      </c>
      <c r="J154" s="333" t="str">
        <f t="shared" si="35"/>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v>0</v>
      </c>
      <c r="E155" s="751">
        <v>0</v>
      </c>
      <c r="F155" s="752">
        <v>0</v>
      </c>
      <c r="G155" s="751">
        <v>0</v>
      </c>
      <c r="H155" s="751">
        <f t="shared" si="36"/>
        <v>0</v>
      </c>
      <c r="I155" s="45">
        <f t="shared" si="34"/>
        <v>0</v>
      </c>
      <c r="J155" s="333" t="str">
        <f t="shared" si="35"/>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v>0</v>
      </c>
      <c r="E156" s="751">
        <v>0</v>
      </c>
      <c r="F156" s="752">
        <v>0</v>
      </c>
      <c r="G156" s="751">
        <v>0</v>
      </c>
      <c r="H156" s="751">
        <f t="shared" si="36"/>
        <v>0</v>
      </c>
      <c r="I156" s="45">
        <f t="shared" si="34"/>
        <v>0</v>
      </c>
      <c r="J156" s="333" t="str">
        <f t="shared" si="35"/>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v>0</v>
      </c>
      <c r="E157" s="751">
        <v>0</v>
      </c>
      <c r="F157" s="752">
        <v>0</v>
      </c>
      <c r="G157" s="751">
        <v>0</v>
      </c>
      <c r="H157" s="751">
        <f t="shared" si="36"/>
        <v>0</v>
      </c>
      <c r="I157" s="45">
        <f t="shared" si="34"/>
        <v>0</v>
      </c>
      <c r="J157" s="333" t="str">
        <f t="shared" si="35"/>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v>0</v>
      </c>
      <c r="E158" s="751">
        <v>0</v>
      </c>
      <c r="F158" s="752">
        <v>0</v>
      </c>
      <c r="G158" s="751">
        <v>0</v>
      </c>
      <c r="H158" s="751">
        <f t="shared" si="36"/>
        <v>0</v>
      </c>
      <c r="I158" s="45">
        <f t="shared" si="34"/>
        <v>0</v>
      </c>
      <c r="J158" s="333" t="str">
        <f t="shared" si="35"/>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v>0</v>
      </c>
      <c r="E159" s="751">
        <v>0</v>
      </c>
      <c r="F159" s="752">
        <v>0</v>
      </c>
      <c r="G159" s="751">
        <v>0</v>
      </c>
      <c r="H159" s="751">
        <f t="shared" si="36"/>
        <v>0</v>
      </c>
      <c r="I159" s="45">
        <f t="shared" si="34"/>
        <v>0</v>
      </c>
      <c r="J159" s="333" t="str">
        <f t="shared" si="35"/>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39">SUM(D161:D170)</f>
        <v>0</v>
      </c>
      <c r="E160" s="444">
        <f t="shared" si="39"/>
        <v>0</v>
      </c>
      <c r="F160" s="446">
        <f t="shared" si="39"/>
        <v>0</v>
      </c>
      <c r="G160" s="444">
        <f t="shared" si="39"/>
        <v>0</v>
      </c>
      <c r="H160" s="444">
        <f t="shared" si="39"/>
        <v>0</v>
      </c>
      <c r="I160" s="45">
        <f t="shared" si="34"/>
        <v>0</v>
      </c>
      <c r="J160" s="333" t="str">
        <f t="shared" si="35"/>
        <v/>
      </c>
      <c r="K160" s="445">
        <f t="shared" si="39"/>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v>0</v>
      </c>
      <c r="E161" s="751">
        <v>0</v>
      </c>
      <c r="F161" s="752">
        <v>0</v>
      </c>
      <c r="G161" s="751">
        <v>0</v>
      </c>
      <c r="H161" s="751">
        <f t="shared" si="36"/>
        <v>0</v>
      </c>
      <c r="I161" s="45">
        <f t="shared" si="34"/>
        <v>0</v>
      </c>
      <c r="J161" s="333" t="str">
        <f t="shared" si="35"/>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v>0</v>
      </c>
      <c r="E162" s="751">
        <v>0</v>
      </c>
      <c r="F162" s="752">
        <v>0</v>
      </c>
      <c r="G162" s="751">
        <v>0</v>
      </c>
      <c r="H162" s="751">
        <f t="shared" si="36"/>
        <v>0</v>
      </c>
      <c r="I162" s="45">
        <f t="shared" si="34"/>
        <v>0</v>
      </c>
      <c r="J162" s="333" t="str">
        <f t="shared" si="35"/>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v>0</v>
      </c>
      <c r="E163" s="751">
        <v>0</v>
      </c>
      <c r="F163" s="752">
        <v>0</v>
      </c>
      <c r="G163" s="751">
        <v>0</v>
      </c>
      <c r="H163" s="751">
        <f t="shared" si="36"/>
        <v>0</v>
      </c>
      <c r="I163" s="45">
        <f t="shared" si="34"/>
        <v>0</v>
      </c>
      <c r="J163" s="333" t="str">
        <f t="shared" si="35"/>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v>0</v>
      </c>
      <c r="E164" s="751">
        <v>0</v>
      </c>
      <c r="F164" s="752">
        <v>0</v>
      </c>
      <c r="G164" s="751">
        <v>0</v>
      </c>
      <c r="H164" s="751">
        <f t="shared" si="36"/>
        <v>0</v>
      </c>
      <c r="I164" s="45">
        <f t="shared" si="34"/>
        <v>0</v>
      </c>
      <c r="J164" s="333" t="str">
        <f t="shared" si="35"/>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v>0</v>
      </c>
      <c r="E165" s="751">
        <v>0</v>
      </c>
      <c r="F165" s="752">
        <v>0</v>
      </c>
      <c r="G165" s="751">
        <v>0</v>
      </c>
      <c r="H165" s="751">
        <f t="shared" si="36"/>
        <v>0</v>
      </c>
      <c r="I165" s="45">
        <f t="shared" si="34"/>
        <v>0</v>
      </c>
      <c r="J165" s="333" t="str">
        <f t="shared" si="35"/>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v>0</v>
      </c>
      <c r="E166" s="751">
        <v>0</v>
      </c>
      <c r="F166" s="752">
        <v>0</v>
      </c>
      <c r="G166" s="751">
        <v>0</v>
      </c>
      <c r="H166" s="751">
        <f t="shared" si="36"/>
        <v>0</v>
      </c>
      <c r="I166" s="45">
        <f t="shared" si="34"/>
        <v>0</v>
      </c>
      <c r="J166" s="333" t="str">
        <f t="shared" si="35"/>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v>0</v>
      </c>
      <c r="E167" s="751">
        <v>0</v>
      </c>
      <c r="F167" s="752">
        <v>0</v>
      </c>
      <c r="G167" s="751">
        <v>0</v>
      </c>
      <c r="H167" s="751">
        <f t="shared" si="36"/>
        <v>0</v>
      </c>
      <c r="I167" s="45">
        <f t="shared" si="34"/>
        <v>0</v>
      </c>
      <c r="J167" s="333" t="str">
        <f t="shared" si="35"/>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v>0</v>
      </c>
      <c r="E168" s="751">
        <v>0</v>
      </c>
      <c r="F168" s="752">
        <v>0</v>
      </c>
      <c r="G168" s="751">
        <v>0</v>
      </c>
      <c r="H168" s="751">
        <f t="shared" si="36"/>
        <v>0</v>
      </c>
      <c r="I168" s="45">
        <f t="shared" si="34"/>
        <v>0</v>
      </c>
      <c r="J168" s="333" t="str">
        <f t="shared" si="35"/>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v>0</v>
      </c>
      <c r="E169" s="751">
        <v>0</v>
      </c>
      <c r="F169" s="752">
        <v>0</v>
      </c>
      <c r="G169" s="751">
        <v>0</v>
      </c>
      <c r="H169" s="751">
        <f t="shared" si="36"/>
        <v>0</v>
      </c>
      <c r="I169" s="45">
        <f t="shared" si="34"/>
        <v>0</v>
      </c>
      <c r="J169" s="333" t="str">
        <f t="shared" si="35"/>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v>0</v>
      </c>
      <c r="E170" s="751">
        <v>0</v>
      </c>
      <c r="F170" s="752">
        <v>0</v>
      </c>
      <c r="G170" s="751">
        <v>0</v>
      </c>
      <c r="H170" s="751">
        <f t="shared" si="36"/>
        <v>0</v>
      </c>
      <c r="I170" s="45">
        <f t="shared" si="34"/>
        <v>0</v>
      </c>
      <c r="J170" s="333" t="str">
        <f t="shared" si="35"/>
        <v/>
      </c>
      <c r="K170" s="753"/>
      <c r="L170" s="455">
        <f t="shared" ref="L170:W170" si="40">SUM(L78:L81)</f>
        <v>0</v>
      </c>
      <c r="M170" s="456">
        <f t="shared" si="40"/>
        <v>0</v>
      </c>
      <c r="N170" s="456">
        <f t="shared" si="40"/>
        <v>0</v>
      </c>
      <c r="O170" s="456">
        <f t="shared" si="40"/>
        <v>0</v>
      </c>
      <c r="P170" s="456">
        <f t="shared" si="40"/>
        <v>0</v>
      </c>
      <c r="Q170" s="456">
        <f t="shared" si="40"/>
        <v>0</v>
      </c>
      <c r="R170" s="456">
        <f t="shared" si="40"/>
        <v>0</v>
      </c>
      <c r="S170" s="456">
        <f t="shared" si="40"/>
        <v>0</v>
      </c>
      <c r="T170" s="456">
        <f t="shared" si="40"/>
        <v>0</v>
      </c>
      <c r="U170" s="456">
        <f t="shared" si="40"/>
        <v>0</v>
      </c>
      <c r="V170" s="456">
        <f t="shared" si="40"/>
        <v>0</v>
      </c>
      <c r="W170" s="456">
        <f t="shared" si="40"/>
        <v>0</v>
      </c>
    </row>
    <row r="171" spans="1:23" ht="12.75" customHeight="1" x14ac:dyDescent="0.2">
      <c r="A171" s="450" t="s">
        <v>655</v>
      </c>
      <c r="B171" s="418">
        <v>2</v>
      </c>
      <c r="C171" s="507">
        <f>C6+C17+C28+C39+C50+C61+C72+C83+C94+C105+C116+C127+C138+C149+C160</f>
        <v>4045643331.02</v>
      </c>
      <c r="D171" s="454">
        <f t="shared" ref="D171:K171" si="41">D6+D17+D28+D39+D50+D61+D72+D83+D94+D105+D116+D127+D138+D149+D160</f>
        <v>5062923624</v>
      </c>
      <c r="E171" s="451">
        <f t="shared" si="41"/>
        <v>5062923624</v>
      </c>
      <c r="F171" s="453">
        <f t="shared" si="41"/>
        <v>302940021.04000008</v>
      </c>
      <c r="G171" s="451">
        <f t="shared" si="41"/>
        <v>1736147672.1599998</v>
      </c>
      <c r="H171" s="451">
        <f t="shared" si="41"/>
        <v>2109551510</v>
      </c>
      <c r="I171" s="517">
        <f t="shared" si="34"/>
        <v>-373403837.84000015</v>
      </c>
      <c r="J171" s="518">
        <f t="shared" si="35"/>
        <v>-0.177006267005066</v>
      </c>
      <c r="K171" s="452">
        <f t="shared" si="41"/>
        <v>5062923624</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978">
        <f t="shared" si="36"/>
        <v>0</v>
      </c>
      <c r="I172" s="116">
        <f t="shared" si="34"/>
        <v>0</v>
      </c>
      <c r="J172" s="134" t="str">
        <f t="shared" si="35"/>
        <v/>
      </c>
      <c r="K172" s="460"/>
      <c r="L172" s="449"/>
      <c r="M172" s="41"/>
      <c r="N172" s="41"/>
      <c r="O172" s="41"/>
      <c r="P172" s="41"/>
      <c r="Q172" s="41"/>
      <c r="R172" s="41"/>
      <c r="S172" s="41"/>
      <c r="T172" s="41"/>
      <c r="U172" s="41"/>
      <c r="V172" s="41"/>
      <c r="W172" s="41"/>
    </row>
    <row r="173" spans="1:23" ht="11.25" customHeight="1" x14ac:dyDescent="0.2">
      <c r="A173" s="463" t="s">
        <v>772</v>
      </c>
      <c r="B173" s="464">
        <v>1</v>
      </c>
      <c r="C173" s="509"/>
      <c r="D173" s="468"/>
      <c r="E173" s="465"/>
      <c r="F173" s="467"/>
      <c r="G173" s="465"/>
      <c r="H173" s="509">
        <f t="shared" si="36"/>
        <v>0</v>
      </c>
      <c r="I173" s="45">
        <f t="shared" si="34"/>
        <v>0</v>
      </c>
      <c r="J173" s="333" t="str">
        <f t="shared" si="35"/>
        <v/>
      </c>
      <c r="K173" s="466"/>
      <c r="L173" s="449"/>
      <c r="M173" s="41"/>
      <c r="N173" s="41"/>
      <c r="O173" s="41"/>
      <c r="P173" s="41"/>
      <c r="Q173" s="41"/>
      <c r="R173" s="41"/>
      <c r="S173" s="41"/>
      <c r="T173" s="41"/>
      <c r="U173" s="41"/>
      <c r="V173" s="41"/>
      <c r="W173" s="41"/>
    </row>
    <row r="174" spans="1:23" ht="11.25" customHeight="1" x14ac:dyDescent="0.2">
      <c r="A174" s="469" t="str">
        <f>'Org structure'!A2</f>
        <v>Vote 1 - Chef Operations Office</v>
      </c>
      <c r="B174" s="470"/>
      <c r="C174" s="510">
        <f t="shared" ref="C174:K174" si="42">SUM(C175:C184)</f>
        <v>96914217.120000005</v>
      </c>
      <c r="D174" s="474">
        <f t="shared" si="42"/>
        <v>173904164</v>
      </c>
      <c r="E174" s="471">
        <f t="shared" si="42"/>
        <v>176406368</v>
      </c>
      <c r="F174" s="473">
        <f>SUM(F175:F184)</f>
        <v>13101790.360000001</v>
      </c>
      <c r="G174" s="471">
        <f>SUM(G175:G184)</f>
        <v>59793970.450000003</v>
      </c>
      <c r="H174" s="510">
        <f>SUM(H175:H184)</f>
        <v>73502653.333333328</v>
      </c>
      <c r="I174" s="45">
        <f t="shared" si="34"/>
        <v>-13708682.883333325</v>
      </c>
      <c r="J174" s="333">
        <f t="shared" si="35"/>
        <v>-0.18650595946740417</v>
      </c>
      <c r="K174" s="472">
        <f t="shared" si="42"/>
        <v>176406368</v>
      </c>
      <c r="L174" s="449"/>
      <c r="M174" s="41"/>
      <c r="N174" s="41"/>
      <c r="O174" s="41"/>
      <c r="P174" s="41"/>
      <c r="Q174" s="41"/>
      <c r="R174" s="41"/>
      <c r="S174" s="41"/>
      <c r="T174" s="41"/>
      <c r="U174" s="41"/>
      <c r="V174" s="41"/>
      <c r="W174" s="41"/>
    </row>
    <row r="175" spans="1:23" ht="11.25" customHeight="1" x14ac:dyDescent="0.2">
      <c r="A175" s="410" t="str">
        <f>'Org structure'!E3</f>
        <v>1.1 - Chef Operations Office (administration)</v>
      </c>
      <c r="B175" s="448"/>
      <c r="C175" s="754">
        <v>0</v>
      </c>
      <c r="D175" s="755">
        <v>5061024</v>
      </c>
      <c r="E175" s="743">
        <v>5061424</v>
      </c>
      <c r="F175" s="756">
        <v>2561783.9500000002</v>
      </c>
      <c r="G175" s="743">
        <v>11098194.35</v>
      </c>
      <c r="H175" s="751">
        <f t="shared" ref="H175:H184" si="43">E175/12*5</f>
        <v>2108926.6666666665</v>
      </c>
      <c r="I175" s="45">
        <f t="shared" ref="I175:I184" si="44">G175-H175</f>
        <v>8989267.6833333336</v>
      </c>
      <c r="J175" s="333">
        <f t="shared" si="35"/>
        <v>4.2624847157637857</v>
      </c>
      <c r="K175" s="757">
        <v>5061424</v>
      </c>
      <c r="L175" s="449"/>
      <c r="M175" s="41"/>
      <c r="N175" s="41"/>
      <c r="O175" s="41"/>
      <c r="P175" s="41"/>
      <c r="Q175" s="41"/>
      <c r="R175" s="41"/>
      <c r="S175" s="41"/>
      <c r="T175" s="41"/>
      <c r="U175" s="41"/>
      <c r="V175" s="41"/>
      <c r="W175" s="41"/>
    </row>
    <row r="176" spans="1:23" ht="11.25" customHeight="1" x14ac:dyDescent="0.2">
      <c r="A176" s="410" t="str">
        <f>'Org structure'!E4</f>
        <v>1.2 - Legislative support</v>
      </c>
      <c r="B176" s="448"/>
      <c r="C176" s="754">
        <v>0</v>
      </c>
      <c r="D176" s="755">
        <v>19625508</v>
      </c>
      <c r="E176" s="743">
        <v>19561308</v>
      </c>
      <c r="F176" s="756">
        <v>737108.65</v>
      </c>
      <c r="G176" s="743">
        <v>3287166.6100000003</v>
      </c>
      <c r="H176" s="751">
        <f t="shared" si="43"/>
        <v>8150545</v>
      </c>
      <c r="I176" s="45">
        <f t="shared" si="44"/>
        <v>-4863378.3899999997</v>
      </c>
      <c r="J176" s="333">
        <f t="shared" si="35"/>
        <v>-0.59669364318582374</v>
      </c>
      <c r="K176" s="757">
        <v>19561308</v>
      </c>
      <c r="L176" s="449"/>
      <c r="M176" s="41"/>
      <c r="N176" s="41"/>
      <c r="O176" s="41"/>
      <c r="P176" s="41"/>
      <c r="Q176" s="41"/>
      <c r="R176" s="41"/>
      <c r="S176" s="41"/>
      <c r="T176" s="41"/>
      <c r="U176" s="41"/>
      <c r="V176" s="41"/>
      <c r="W176" s="41"/>
    </row>
    <row r="177" spans="1:23" ht="11.25" customHeight="1" x14ac:dyDescent="0.2">
      <c r="A177" s="410" t="str">
        <f>'Org structure'!E5</f>
        <v>1.3 - Legal Services</v>
      </c>
      <c r="B177" s="448"/>
      <c r="C177" s="754">
        <v>22095162.289999999</v>
      </c>
      <c r="D177" s="755">
        <v>31015524</v>
      </c>
      <c r="E177" s="743">
        <v>31015524</v>
      </c>
      <c r="F177" s="756">
        <v>2123435.42</v>
      </c>
      <c r="G177" s="743">
        <v>10100985.83</v>
      </c>
      <c r="H177" s="751">
        <f t="shared" si="43"/>
        <v>12923135</v>
      </c>
      <c r="I177" s="45">
        <f t="shared" si="44"/>
        <v>-2822149.17</v>
      </c>
      <c r="J177" s="333">
        <f t="shared" si="35"/>
        <v>-0.21837960912735183</v>
      </c>
      <c r="K177" s="757">
        <v>31015524</v>
      </c>
      <c r="L177" s="449"/>
      <c r="M177" s="41"/>
      <c r="N177" s="41"/>
      <c r="O177" s="41"/>
      <c r="P177" s="41"/>
      <c r="Q177" s="41"/>
      <c r="R177" s="41"/>
      <c r="S177" s="41"/>
      <c r="T177" s="41"/>
      <c r="U177" s="41"/>
      <c r="V177" s="41"/>
      <c r="W177" s="41"/>
    </row>
    <row r="178" spans="1:23" ht="11.25" customHeight="1" x14ac:dyDescent="0.2">
      <c r="A178" s="410" t="str">
        <f>'Org structure'!E6</f>
        <v>1.4 - IDP</v>
      </c>
      <c r="B178" s="448"/>
      <c r="C178" s="754">
        <v>13025224.000000002</v>
      </c>
      <c r="D178" s="755">
        <v>17731896</v>
      </c>
      <c r="E178" s="743">
        <v>17731896</v>
      </c>
      <c r="F178" s="756">
        <v>0</v>
      </c>
      <c r="G178" s="743">
        <v>0</v>
      </c>
      <c r="H178" s="751">
        <f t="shared" si="43"/>
        <v>7388290</v>
      </c>
      <c r="I178" s="45">
        <f t="shared" si="44"/>
        <v>-7388290</v>
      </c>
      <c r="J178" s="333">
        <f t="shared" si="35"/>
        <v>-1</v>
      </c>
      <c r="K178" s="757">
        <v>17731896</v>
      </c>
      <c r="L178" s="449"/>
      <c r="M178" s="41"/>
      <c r="N178" s="41"/>
      <c r="O178" s="41"/>
      <c r="P178" s="41"/>
      <c r="Q178" s="41"/>
      <c r="R178" s="41"/>
      <c r="S178" s="41"/>
      <c r="T178" s="41"/>
      <c r="U178" s="41"/>
      <c r="V178" s="41"/>
      <c r="W178" s="41"/>
    </row>
    <row r="179" spans="1:23" ht="11.25" customHeight="1" x14ac:dyDescent="0.2">
      <c r="A179" s="410" t="str">
        <f>'Org structure'!E7</f>
        <v>1.5 - Communications and Marketing</v>
      </c>
      <c r="B179" s="448"/>
      <c r="C179" s="754">
        <v>19132471.289999999</v>
      </c>
      <c r="D179" s="755">
        <v>16056912</v>
      </c>
      <c r="E179" s="743">
        <v>16056912</v>
      </c>
      <c r="F179" s="756">
        <v>843403.23000000021</v>
      </c>
      <c r="G179" s="743">
        <v>4460725.3199999994</v>
      </c>
      <c r="H179" s="751">
        <f t="shared" si="43"/>
        <v>6690380</v>
      </c>
      <c r="I179" s="45">
        <f t="shared" si="44"/>
        <v>-2229654.6800000006</v>
      </c>
      <c r="J179" s="333">
        <f t="shared" si="35"/>
        <v>-0.33326278626924039</v>
      </c>
      <c r="K179" s="757">
        <v>16056912</v>
      </c>
      <c r="L179" s="449"/>
      <c r="M179" s="41"/>
      <c r="N179" s="41"/>
      <c r="O179" s="41"/>
      <c r="P179" s="41"/>
      <c r="Q179" s="41"/>
      <c r="R179" s="41"/>
      <c r="S179" s="41"/>
      <c r="T179" s="41"/>
      <c r="U179" s="41"/>
      <c r="V179" s="41"/>
      <c r="W179" s="41"/>
    </row>
    <row r="180" spans="1:23" ht="11.25" customHeight="1" x14ac:dyDescent="0.2">
      <c r="A180" s="410" t="str">
        <f>'Org structure'!E8</f>
        <v>1.6 - Project Management Unit</v>
      </c>
      <c r="B180" s="448"/>
      <c r="C180" s="754">
        <v>42580594.560000002</v>
      </c>
      <c r="D180" s="755">
        <v>48886196</v>
      </c>
      <c r="E180" s="743">
        <v>48886196</v>
      </c>
      <c r="F180" s="756">
        <v>4047834.850000001</v>
      </c>
      <c r="G180" s="743">
        <v>17310702.439999998</v>
      </c>
      <c r="H180" s="751">
        <f t="shared" si="43"/>
        <v>20369248.333333332</v>
      </c>
      <c r="I180" s="45">
        <f t="shared" si="44"/>
        <v>-3058545.8933333345</v>
      </c>
      <c r="J180" s="333">
        <f t="shared" si="35"/>
        <v>-0.15015506921422161</v>
      </c>
      <c r="K180" s="757">
        <v>48886196</v>
      </c>
      <c r="L180" s="449"/>
      <c r="M180" s="41"/>
      <c r="N180" s="41"/>
      <c r="O180" s="41"/>
      <c r="P180" s="41"/>
      <c r="Q180" s="41"/>
      <c r="R180" s="41"/>
      <c r="S180" s="41"/>
      <c r="T180" s="41"/>
      <c r="U180" s="41"/>
      <c r="V180" s="41"/>
      <c r="W180" s="41"/>
    </row>
    <row r="181" spans="1:23" ht="11.25" customHeight="1" x14ac:dyDescent="0.2">
      <c r="A181" s="410" t="str">
        <f>'Org structure'!E9</f>
        <v>1.7 - Performance Management</v>
      </c>
      <c r="B181" s="448"/>
      <c r="C181" s="754">
        <v>80764.98</v>
      </c>
      <c r="D181" s="755">
        <v>3796812</v>
      </c>
      <c r="E181" s="743">
        <v>3796812</v>
      </c>
      <c r="F181" s="756">
        <v>0</v>
      </c>
      <c r="G181" s="743">
        <v>0</v>
      </c>
      <c r="H181" s="751">
        <f t="shared" si="43"/>
        <v>1582005</v>
      </c>
      <c r="I181" s="45">
        <f t="shared" si="44"/>
        <v>-1582005</v>
      </c>
      <c r="J181" s="333">
        <f t="shared" si="35"/>
        <v>-1</v>
      </c>
      <c r="K181" s="757">
        <v>3796812</v>
      </c>
      <c r="L181" s="449"/>
      <c r="M181" s="41"/>
      <c r="N181" s="41"/>
      <c r="O181" s="41"/>
      <c r="P181" s="41"/>
      <c r="Q181" s="41"/>
      <c r="R181" s="41"/>
      <c r="S181" s="41"/>
      <c r="T181" s="41"/>
      <c r="U181" s="41"/>
      <c r="V181" s="41"/>
      <c r="W181" s="41"/>
    </row>
    <row r="182" spans="1:23" ht="11.25" customHeight="1" x14ac:dyDescent="0.2">
      <c r="A182" s="410" t="str">
        <f>'Org structure'!E10</f>
        <v>1.8 - Cluster Offices</v>
      </c>
      <c r="B182" s="448"/>
      <c r="C182" s="754">
        <v>0</v>
      </c>
      <c r="D182" s="755">
        <v>12372984</v>
      </c>
      <c r="E182" s="743">
        <v>12372984</v>
      </c>
      <c r="F182" s="756">
        <v>1204143.1100000001</v>
      </c>
      <c r="G182" s="743">
        <v>4639599.959999999</v>
      </c>
      <c r="H182" s="751">
        <f t="shared" si="43"/>
        <v>5155410</v>
      </c>
      <c r="I182" s="45">
        <f t="shared" si="44"/>
        <v>-515810.04000000097</v>
      </c>
      <c r="J182" s="333">
        <f t="shared" si="35"/>
        <v>-0.10005218595611232</v>
      </c>
      <c r="K182" s="757">
        <v>12372984</v>
      </c>
      <c r="L182" s="449"/>
      <c r="M182" s="41"/>
      <c r="N182" s="41"/>
      <c r="O182" s="41"/>
      <c r="P182" s="41"/>
      <c r="Q182" s="41"/>
      <c r="R182" s="41"/>
      <c r="S182" s="41"/>
      <c r="T182" s="41"/>
      <c r="U182" s="41"/>
      <c r="V182" s="41"/>
      <c r="W182" s="41"/>
    </row>
    <row r="183" spans="1:23" ht="11.25" customHeight="1" x14ac:dyDescent="0.2">
      <c r="A183" s="410" t="str">
        <f>'Org structure'!E11</f>
        <v>1.9 - Executive Support</v>
      </c>
      <c r="B183" s="448"/>
      <c r="C183" s="754">
        <v>0</v>
      </c>
      <c r="D183" s="755">
        <v>19357308</v>
      </c>
      <c r="E183" s="743">
        <v>21923312</v>
      </c>
      <c r="F183" s="756">
        <v>1584081.1499999997</v>
      </c>
      <c r="G183" s="743">
        <v>8896595.9400000013</v>
      </c>
      <c r="H183" s="751">
        <f t="shared" si="43"/>
        <v>9134713.333333334</v>
      </c>
      <c r="I183" s="45">
        <f t="shared" si="44"/>
        <v>-238117.39333333261</v>
      </c>
      <c r="J183" s="333">
        <f t="shared" si="35"/>
        <v>-2.606730880808512E-2</v>
      </c>
      <c r="K183" s="757">
        <v>21923312</v>
      </c>
      <c r="L183" s="449"/>
      <c r="M183" s="41"/>
      <c r="N183" s="41"/>
      <c r="O183" s="41"/>
      <c r="P183" s="41"/>
      <c r="Q183" s="41"/>
      <c r="R183" s="41"/>
      <c r="S183" s="41"/>
      <c r="T183" s="41"/>
      <c r="U183" s="41"/>
      <c r="V183" s="41"/>
      <c r="W183" s="41"/>
    </row>
    <row r="184" spans="1:23" ht="11.25" customHeight="1" x14ac:dyDescent="0.2">
      <c r="A184" s="410">
        <f>'Org structure'!E12</f>
        <v>0</v>
      </c>
      <c r="B184" s="448"/>
      <c r="C184" s="754">
        <v>0</v>
      </c>
      <c r="D184" s="755">
        <v>0</v>
      </c>
      <c r="E184" s="743">
        <v>0</v>
      </c>
      <c r="F184" s="756">
        <v>0</v>
      </c>
      <c r="G184" s="743">
        <v>0</v>
      </c>
      <c r="H184" s="751">
        <f t="shared" si="43"/>
        <v>0</v>
      </c>
      <c r="I184" s="45">
        <f t="shared" si="44"/>
        <v>0</v>
      </c>
      <c r="J184" s="333" t="str">
        <f t="shared" si="35"/>
        <v/>
      </c>
      <c r="K184" s="757">
        <f t="shared" ref="K184" si="45">D184</f>
        <v>0</v>
      </c>
      <c r="L184" s="49"/>
      <c r="M184" s="476"/>
      <c r="N184" s="476"/>
      <c r="O184" s="476"/>
      <c r="P184" s="476"/>
      <c r="Q184" s="476"/>
      <c r="R184" s="476"/>
      <c r="S184" s="476"/>
      <c r="T184" s="476"/>
      <c r="U184" s="476"/>
      <c r="V184" s="476"/>
      <c r="W184" s="476"/>
    </row>
    <row r="185" spans="1:23" ht="11.25" customHeight="1" x14ac:dyDescent="0.2">
      <c r="A185" s="469" t="str">
        <f>'Org structure'!A3</f>
        <v>Vote 2 - Municipal Manger Office</v>
      </c>
      <c r="B185" s="443"/>
      <c r="C185" s="506">
        <f>SUM(C186:C195)</f>
        <v>100797153.92</v>
      </c>
      <c r="D185" s="447">
        <f>SUM(D186:D195)</f>
        <v>310334040</v>
      </c>
      <c r="E185" s="444">
        <f t="shared" ref="E185:K185" si="46">SUM(E186:E195)</f>
        <v>308168240</v>
      </c>
      <c r="F185" s="446">
        <f t="shared" si="46"/>
        <v>6567006.3099999996</v>
      </c>
      <c r="G185" s="444">
        <f t="shared" si="46"/>
        <v>41551578.68</v>
      </c>
      <c r="H185" s="444">
        <f t="shared" si="46"/>
        <v>128403433.33333333</v>
      </c>
      <c r="I185" s="45">
        <f t="shared" si="34"/>
        <v>-86851854.653333336</v>
      </c>
      <c r="J185" s="333">
        <f t="shared" si="35"/>
        <v>-0.67639822704636932</v>
      </c>
      <c r="K185" s="445">
        <f t="shared" si="46"/>
        <v>308168240</v>
      </c>
      <c r="L185" s="49"/>
      <c r="M185" s="476"/>
      <c r="N185" s="476"/>
      <c r="O185" s="476"/>
      <c r="P185" s="476"/>
      <c r="Q185" s="476"/>
      <c r="R185" s="476"/>
      <c r="S185" s="476"/>
      <c r="T185" s="476"/>
      <c r="U185" s="476"/>
      <c r="V185" s="476"/>
      <c r="W185" s="476"/>
    </row>
    <row r="186" spans="1:23" ht="11.25" customHeight="1" x14ac:dyDescent="0.2">
      <c r="A186" s="410" t="str">
        <f>'Org structure'!E14</f>
        <v>2.1 - COUNCIL</v>
      </c>
      <c r="B186" s="448"/>
      <c r="C186" s="754">
        <v>67972314.579999998</v>
      </c>
      <c r="D186" s="755">
        <v>265358376</v>
      </c>
      <c r="E186" s="743">
        <v>266022576</v>
      </c>
      <c r="F186" s="756">
        <v>4738412.04</v>
      </c>
      <c r="G186" s="743">
        <v>28771220.759999998</v>
      </c>
      <c r="H186" s="751">
        <f t="shared" ref="H186:H194" si="47">E186/12*5</f>
        <v>110842740</v>
      </c>
      <c r="I186" s="45">
        <f t="shared" si="34"/>
        <v>-82071519.24000001</v>
      </c>
      <c r="J186" s="333">
        <f t="shared" si="35"/>
        <v>-0.74043206835197339</v>
      </c>
      <c r="K186" s="757">
        <v>266022576</v>
      </c>
      <c r="L186" s="49"/>
      <c r="M186" s="476"/>
      <c r="N186" s="476"/>
      <c r="O186" s="476"/>
      <c r="P186" s="476"/>
      <c r="Q186" s="476"/>
      <c r="R186" s="476"/>
      <c r="S186" s="476"/>
      <c r="T186" s="476"/>
      <c r="U186" s="476"/>
      <c r="V186" s="476"/>
      <c r="W186" s="476"/>
    </row>
    <row r="187" spans="1:23" ht="11.25" customHeight="1" x14ac:dyDescent="0.2">
      <c r="A187" s="410" t="str">
        <f>'Org structure'!E15</f>
        <v>2.2 - Municipal Manager</v>
      </c>
      <c r="B187" s="448"/>
      <c r="C187" s="754">
        <v>23338956.039999999</v>
      </c>
      <c r="D187" s="755">
        <v>25829928</v>
      </c>
      <c r="E187" s="743">
        <v>22999928</v>
      </c>
      <c r="F187" s="756">
        <v>859914.51</v>
      </c>
      <c r="G187" s="743">
        <v>6695168.0300000003</v>
      </c>
      <c r="H187" s="751">
        <f t="shared" si="47"/>
        <v>9583303.333333334</v>
      </c>
      <c r="I187" s="45">
        <f t="shared" si="34"/>
        <v>-2888135.3033333337</v>
      </c>
      <c r="J187" s="333">
        <f t="shared" si="35"/>
        <v>-0.30137158377191442</v>
      </c>
      <c r="K187" s="757">
        <v>22999928</v>
      </c>
      <c r="L187" s="49"/>
      <c r="M187" s="476"/>
      <c r="N187" s="476"/>
      <c r="O187" s="476"/>
      <c r="P187" s="476"/>
      <c r="Q187" s="476"/>
      <c r="R187" s="476"/>
      <c r="S187" s="476"/>
      <c r="T187" s="476"/>
      <c r="U187" s="476"/>
      <c r="V187" s="476"/>
      <c r="W187" s="476"/>
    </row>
    <row r="188" spans="1:23" ht="11.25" customHeight="1" x14ac:dyDescent="0.2">
      <c r="A188" s="410" t="str">
        <f>'Org structure'!E16</f>
        <v>2.3 - Risk Management</v>
      </c>
      <c r="B188" s="448"/>
      <c r="C188" s="754">
        <v>1891411.38</v>
      </c>
      <c r="D188" s="755">
        <v>5631816</v>
      </c>
      <c r="E188" s="743">
        <v>5631816</v>
      </c>
      <c r="F188" s="756">
        <v>170086.88</v>
      </c>
      <c r="G188" s="743">
        <v>812485.99</v>
      </c>
      <c r="H188" s="751">
        <f t="shared" si="47"/>
        <v>2346590</v>
      </c>
      <c r="I188" s="45">
        <f t="shared" si="34"/>
        <v>-1534104.01</v>
      </c>
      <c r="J188" s="333">
        <f t="shared" si="35"/>
        <v>-0.65375886286057638</v>
      </c>
      <c r="K188" s="757">
        <v>5631816</v>
      </c>
      <c r="L188" s="49"/>
      <c r="M188" s="476"/>
      <c r="N188" s="476"/>
      <c r="O188" s="476"/>
      <c r="P188" s="476"/>
      <c r="Q188" s="476"/>
      <c r="R188" s="476"/>
      <c r="S188" s="476"/>
      <c r="T188" s="476"/>
      <c r="U188" s="476"/>
      <c r="V188" s="476"/>
      <c r="W188" s="476"/>
    </row>
    <row r="189" spans="1:23" ht="11.25" customHeight="1" x14ac:dyDescent="0.2">
      <c r="A189" s="410" t="str">
        <f>'Org structure'!E17</f>
        <v>2.4 - Internal Audit</v>
      </c>
      <c r="B189" s="448"/>
      <c r="C189" s="754">
        <v>7594471.9199999999</v>
      </c>
      <c r="D189" s="755">
        <v>13513920</v>
      </c>
      <c r="E189" s="743">
        <v>13513920</v>
      </c>
      <c r="F189" s="756">
        <v>798592.88000000012</v>
      </c>
      <c r="G189" s="743">
        <v>5272703.8999999994</v>
      </c>
      <c r="H189" s="751">
        <f t="shared" si="47"/>
        <v>5630800</v>
      </c>
      <c r="I189" s="45">
        <f t="shared" si="34"/>
        <v>-358096.10000000056</v>
      </c>
      <c r="J189" s="333">
        <f t="shared" si="35"/>
        <v>-6.3595954393691936E-2</v>
      </c>
      <c r="K189" s="757">
        <v>13513920</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v>0</v>
      </c>
      <c r="D190" s="755">
        <v>0</v>
      </c>
      <c r="E190" s="743">
        <v>0</v>
      </c>
      <c r="F190" s="756">
        <v>0</v>
      </c>
      <c r="G190" s="743">
        <v>0</v>
      </c>
      <c r="H190" s="751">
        <f t="shared" si="47"/>
        <v>0</v>
      </c>
      <c r="I190" s="45">
        <f t="shared" si="34"/>
        <v>0</v>
      </c>
      <c r="J190" s="333" t="str">
        <f t="shared" si="35"/>
        <v/>
      </c>
      <c r="K190" s="757">
        <f t="shared" ref="K190:K195" si="48">D190</f>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v>0</v>
      </c>
      <c r="D191" s="755">
        <v>0</v>
      </c>
      <c r="E191" s="743">
        <v>0</v>
      </c>
      <c r="F191" s="756">
        <v>0</v>
      </c>
      <c r="G191" s="743">
        <v>0</v>
      </c>
      <c r="H191" s="751">
        <f t="shared" si="47"/>
        <v>0</v>
      </c>
      <c r="I191" s="45">
        <f t="shared" si="34"/>
        <v>0</v>
      </c>
      <c r="J191" s="333" t="str">
        <f t="shared" si="35"/>
        <v/>
      </c>
      <c r="K191" s="757">
        <f t="shared" si="48"/>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v>0</v>
      </c>
      <c r="D192" s="755">
        <v>0</v>
      </c>
      <c r="E192" s="743">
        <v>0</v>
      </c>
      <c r="F192" s="756">
        <v>0</v>
      </c>
      <c r="G192" s="743">
        <v>0</v>
      </c>
      <c r="H192" s="751">
        <f t="shared" si="47"/>
        <v>0</v>
      </c>
      <c r="I192" s="45">
        <f t="shared" si="34"/>
        <v>0</v>
      </c>
      <c r="J192" s="333" t="str">
        <f t="shared" si="35"/>
        <v/>
      </c>
      <c r="K192" s="757">
        <f t="shared" si="48"/>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v>0</v>
      </c>
      <c r="D193" s="755">
        <v>0</v>
      </c>
      <c r="E193" s="743">
        <v>0</v>
      </c>
      <c r="F193" s="756">
        <v>0</v>
      </c>
      <c r="G193" s="743">
        <v>0</v>
      </c>
      <c r="H193" s="751">
        <f t="shared" si="47"/>
        <v>0</v>
      </c>
      <c r="I193" s="45">
        <f t="shared" si="34"/>
        <v>0</v>
      </c>
      <c r="J193" s="333" t="str">
        <f t="shared" si="35"/>
        <v/>
      </c>
      <c r="K193" s="757">
        <f t="shared" si="48"/>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v>0</v>
      </c>
      <c r="D194" s="755">
        <v>0</v>
      </c>
      <c r="E194" s="743">
        <v>0</v>
      </c>
      <c r="F194" s="756">
        <v>0</v>
      </c>
      <c r="G194" s="743">
        <v>0</v>
      </c>
      <c r="H194" s="751">
        <f t="shared" si="47"/>
        <v>0</v>
      </c>
      <c r="I194" s="45">
        <f t="shared" si="34"/>
        <v>0</v>
      </c>
      <c r="J194" s="333" t="str">
        <f t="shared" si="35"/>
        <v/>
      </c>
      <c r="K194" s="757">
        <f t="shared" si="48"/>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v>0</v>
      </c>
      <c r="D195" s="755">
        <v>0</v>
      </c>
      <c r="E195" s="743">
        <v>0</v>
      </c>
      <c r="F195" s="756">
        <v>0</v>
      </c>
      <c r="G195" s="743">
        <v>0</v>
      </c>
      <c r="H195" s="751">
        <f t="shared" ref="H195" si="49">D195/12*5</f>
        <v>0</v>
      </c>
      <c r="I195" s="45">
        <f t="shared" si="34"/>
        <v>0</v>
      </c>
      <c r="J195" s="333" t="str">
        <f t="shared" si="35"/>
        <v/>
      </c>
      <c r="K195" s="757">
        <f t="shared" si="48"/>
        <v>0</v>
      </c>
      <c r="L195" s="49"/>
      <c r="M195" s="476"/>
      <c r="N195" s="476"/>
      <c r="O195" s="476"/>
      <c r="P195" s="476"/>
      <c r="Q195" s="476"/>
      <c r="R195" s="476"/>
      <c r="S195" s="476"/>
      <c r="T195" s="476"/>
      <c r="U195" s="476"/>
      <c r="V195" s="476"/>
      <c r="W195" s="476"/>
    </row>
    <row r="196" spans="1:23" ht="11.25" customHeight="1" x14ac:dyDescent="0.2">
      <c r="A196" s="469" t="str">
        <f>'Org structure'!A4</f>
        <v>Vote 3 - Water and Sanitation</v>
      </c>
      <c r="B196" s="443"/>
      <c r="C196" s="506">
        <f t="shared" ref="C196:K196" si="50">SUM(C197:C206)</f>
        <v>363795872.22000003</v>
      </c>
      <c r="D196" s="447">
        <f t="shared" si="50"/>
        <v>476061904</v>
      </c>
      <c r="E196" s="444">
        <f t="shared" si="50"/>
        <v>476062004</v>
      </c>
      <c r="F196" s="446">
        <f t="shared" si="50"/>
        <v>35272308.280000001</v>
      </c>
      <c r="G196" s="444">
        <f t="shared" si="50"/>
        <v>167979809.18000001</v>
      </c>
      <c r="H196" s="444">
        <f t="shared" si="50"/>
        <v>198359168.33333331</v>
      </c>
      <c r="I196" s="45">
        <f t="shared" si="34"/>
        <v>-30379359.153333306</v>
      </c>
      <c r="J196" s="333">
        <f t="shared" si="35"/>
        <v>-0.15315328960384736</v>
      </c>
      <c r="K196" s="445">
        <f t="shared" si="50"/>
        <v>476061904</v>
      </c>
      <c r="L196" s="49"/>
      <c r="M196" s="476"/>
      <c r="N196" s="476"/>
      <c r="O196" s="476"/>
      <c r="P196" s="476"/>
      <c r="Q196" s="476"/>
      <c r="R196" s="476"/>
      <c r="S196" s="476"/>
      <c r="T196" s="476"/>
      <c r="U196" s="476"/>
      <c r="V196" s="476"/>
      <c r="W196" s="476"/>
    </row>
    <row r="197" spans="1:23" ht="11.25" customHeight="1" x14ac:dyDescent="0.2">
      <c r="A197" s="410" t="str">
        <f>'Org structure'!E25</f>
        <v>3.1 - Water and sanitation admin</v>
      </c>
      <c r="B197" s="448"/>
      <c r="C197" s="754">
        <v>8476429.8300000001</v>
      </c>
      <c r="D197" s="755">
        <v>33662904</v>
      </c>
      <c r="E197" s="743">
        <v>33662904</v>
      </c>
      <c r="F197" s="756">
        <v>5594383.2300000004</v>
      </c>
      <c r="G197" s="743">
        <v>19103170.450000003</v>
      </c>
      <c r="H197" s="751">
        <f t="shared" ref="H197:H206" si="51">E197/12*5</f>
        <v>14026210</v>
      </c>
      <c r="I197" s="45">
        <f t="shared" si="34"/>
        <v>5076960.450000003</v>
      </c>
      <c r="J197" s="333">
        <f t="shared" si="35"/>
        <v>0.36196238684576965</v>
      </c>
      <c r="K197" s="757">
        <f>D197</f>
        <v>33662904</v>
      </c>
      <c r="L197" s="49"/>
      <c r="M197" s="476"/>
      <c r="N197" s="476"/>
      <c r="O197" s="476"/>
      <c r="P197" s="476"/>
      <c r="Q197" s="476"/>
      <c r="R197" s="476"/>
      <c r="S197" s="476"/>
      <c r="T197" s="476"/>
      <c r="U197" s="476"/>
      <c r="V197" s="476"/>
      <c r="W197" s="476"/>
    </row>
    <row r="198" spans="1:23" ht="11.25" customHeight="1" x14ac:dyDescent="0.2">
      <c r="A198" s="410" t="str">
        <f>'Org structure'!E26</f>
        <v>3.2 - Reticulation, Distribution and Maitenance, Water Demand and Coservation</v>
      </c>
      <c r="B198" s="448"/>
      <c r="C198" s="754">
        <v>234641706.88000003</v>
      </c>
      <c r="D198" s="755">
        <v>343238928</v>
      </c>
      <c r="E198" s="743">
        <v>343238928</v>
      </c>
      <c r="F198" s="756">
        <v>17106549.559999999</v>
      </c>
      <c r="G198" s="743">
        <v>95659290.319999993</v>
      </c>
      <c r="H198" s="751">
        <f t="shared" si="51"/>
        <v>143016220</v>
      </c>
      <c r="I198" s="45">
        <f t="shared" ref="I198:I261" si="52">G198-H198</f>
        <v>-47356929.680000007</v>
      </c>
      <c r="J198" s="333">
        <f t="shared" ref="J198:J261" si="53">IF(I198=0,"",I198/H198)</f>
        <v>-0.33112978150310507</v>
      </c>
      <c r="K198" s="757">
        <f t="shared" ref="K198:K206" si="54">D198</f>
        <v>343238928</v>
      </c>
      <c r="L198" s="49"/>
      <c r="M198" s="476"/>
      <c r="N198" s="476"/>
      <c r="O198" s="476"/>
      <c r="P198" s="476"/>
      <c r="Q198" s="476"/>
      <c r="R198" s="476"/>
      <c r="S198" s="476"/>
      <c r="T198" s="476"/>
      <c r="U198" s="476"/>
      <c r="V198" s="476"/>
      <c r="W198" s="476"/>
    </row>
    <row r="199" spans="1:23" ht="11.25" customHeight="1" x14ac:dyDescent="0.2">
      <c r="A199" s="410" t="str">
        <f>'Org structure'!E27</f>
        <v>3.3 - Operations, Water and Waste Water, Quality Management and Laboratory Services</v>
      </c>
      <c r="B199" s="448"/>
      <c r="C199" s="754">
        <v>0</v>
      </c>
      <c r="D199" s="755">
        <v>77149276</v>
      </c>
      <c r="E199" s="743">
        <v>77149276</v>
      </c>
      <c r="F199" s="756">
        <v>6495061.8800000008</v>
      </c>
      <c r="G199" s="743">
        <v>24251646.809999991</v>
      </c>
      <c r="H199" s="751">
        <f t="shared" si="51"/>
        <v>32145531.666666664</v>
      </c>
      <c r="I199" s="45">
        <f t="shared" si="52"/>
        <v>-7893884.856666673</v>
      </c>
      <c r="J199" s="333">
        <f t="shared" si="53"/>
        <v>-0.24556709587268216</v>
      </c>
      <c r="K199" s="757">
        <f t="shared" si="54"/>
        <v>77149276</v>
      </c>
      <c r="L199" s="49"/>
      <c r="M199" s="476"/>
      <c r="N199" s="476"/>
      <c r="O199" s="476"/>
      <c r="P199" s="476"/>
      <c r="Q199" s="476"/>
      <c r="R199" s="476"/>
      <c r="S199" s="476"/>
      <c r="T199" s="476"/>
      <c r="U199" s="476"/>
      <c r="V199" s="476"/>
      <c r="W199" s="476"/>
    </row>
    <row r="200" spans="1:23" ht="11.25" customHeight="1" x14ac:dyDescent="0.2">
      <c r="A200" s="410" t="str">
        <f>'Org structure'!E28</f>
        <v>3.4 - Quality Monitoring Services</v>
      </c>
      <c r="B200" s="448"/>
      <c r="C200" s="754">
        <v>85523643.149999976</v>
      </c>
      <c r="D200" s="755">
        <v>13669896</v>
      </c>
      <c r="E200" s="743">
        <v>13669996</v>
      </c>
      <c r="F200" s="756">
        <v>2607568.2499999991</v>
      </c>
      <c r="G200" s="743">
        <v>11829039.490000002</v>
      </c>
      <c r="H200" s="751">
        <f t="shared" si="51"/>
        <v>5695831.666666666</v>
      </c>
      <c r="I200" s="45">
        <f t="shared" si="52"/>
        <v>6133207.823333336</v>
      </c>
      <c r="J200" s="333">
        <f t="shared" si="53"/>
        <v>1.0767888136909483</v>
      </c>
      <c r="K200" s="757">
        <f t="shared" si="54"/>
        <v>13669896</v>
      </c>
      <c r="L200" s="49"/>
      <c r="M200" s="476"/>
      <c r="N200" s="476"/>
      <c r="O200" s="476"/>
      <c r="P200" s="476"/>
      <c r="Q200" s="476"/>
      <c r="R200" s="476"/>
      <c r="S200" s="476"/>
      <c r="T200" s="476"/>
      <c r="U200" s="476"/>
      <c r="V200" s="476"/>
      <c r="W200" s="476"/>
    </row>
    <row r="201" spans="1:23" ht="11.25" customHeight="1" x14ac:dyDescent="0.2">
      <c r="A201" s="410" t="str">
        <f>'Org structure'!E29</f>
        <v>3.5 - Infrastructure Development, Planning and Reticulation Design</v>
      </c>
      <c r="B201" s="448"/>
      <c r="C201" s="397">
        <v>35154092.359999999</v>
      </c>
      <c r="D201" s="386">
        <v>8340900</v>
      </c>
      <c r="E201" s="743">
        <v>8340900</v>
      </c>
      <c r="F201" s="756">
        <v>0</v>
      </c>
      <c r="G201" s="743">
        <v>0</v>
      </c>
      <c r="H201" s="751">
        <f t="shared" si="51"/>
        <v>3475375</v>
      </c>
      <c r="I201" s="45">
        <f t="shared" si="52"/>
        <v>-3475375</v>
      </c>
      <c r="J201" s="333">
        <f t="shared" si="53"/>
        <v>-1</v>
      </c>
      <c r="K201" s="757">
        <f t="shared" si="54"/>
        <v>8340900</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v>0</v>
      </c>
      <c r="D202" s="386">
        <v>0</v>
      </c>
      <c r="E202" s="743">
        <v>0</v>
      </c>
      <c r="F202" s="756">
        <v>0</v>
      </c>
      <c r="G202" s="743">
        <v>0</v>
      </c>
      <c r="H202" s="751">
        <f t="shared" si="51"/>
        <v>0</v>
      </c>
      <c r="I202" s="45">
        <f t="shared" si="52"/>
        <v>0</v>
      </c>
      <c r="J202" s="333" t="str">
        <f t="shared" si="53"/>
        <v/>
      </c>
      <c r="K202" s="757">
        <f t="shared" si="54"/>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v>0</v>
      </c>
      <c r="D203" s="386">
        <v>0</v>
      </c>
      <c r="E203" s="743">
        <v>0</v>
      </c>
      <c r="F203" s="756">
        <v>3468745.3600000003</v>
      </c>
      <c r="G203" s="743">
        <v>17136662.110000003</v>
      </c>
      <c r="H203" s="751">
        <f t="shared" si="51"/>
        <v>0</v>
      </c>
      <c r="I203" s="45">
        <f t="shared" si="52"/>
        <v>17136662.110000003</v>
      </c>
      <c r="J203" s="333" t="e">
        <f t="shared" si="53"/>
        <v>#DIV/0!</v>
      </c>
      <c r="K203" s="757">
        <f t="shared" si="54"/>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v>0</v>
      </c>
      <c r="D204" s="386">
        <v>0</v>
      </c>
      <c r="E204" s="743">
        <v>0</v>
      </c>
      <c r="F204" s="756">
        <v>0</v>
      </c>
      <c r="G204" s="743">
        <v>0</v>
      </c>
      <c r="H204" s="751">
        <f t="shared" si="51"/>
        <v>0</v>
      </c>
      <c r="I204" s="45">
        <f t="shared" si="52"/>
        <v>0</v>
      </c>
      <c r="J204" s="333" t="str">
        <f t="shared" si="53"/>
        <v/>
      </c>
      <c r="K204" s="757">
        <f t="shared" si="54"/>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v>0</v>
      </c>
      <c r="D205" s="386">
        <v>0</v>
      </c>
      <c r="E205" s="743">
        <v>0</v>
      </c>
      <c r="F205" s="756">
        <v>0</v>
      </c>
      <c r="G205" s="743">
        <v>0</v>
      </c>
      <c r="H205" s="751">
        <f t="shared" si="51"/>
        <v>0</v>
      </c>
      <c r="I205" s="45">
        <f t="shared" si="52"/>
        <v>0</v>
      </c>
      <c r="J205" s="333" t="str">
        <f t="shared" si="53"/>
        <v/>
      </c>
      <c r="K205" s="757">
        <f t="shared" si="54"/>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v>0</v>
      </c>
      <c r="D206" s="386">
        <v>0</v>
      </c>
      <c r="E206" s="743">
        <v>0</v>
      </c>
      <c r="F206" s="756">
        <v>0</v>
      </c>
      <c r="G206" s="743">
        <v>0</v>
      </c>
      <c r="H206" s="751">
        <f t="shared" si="51"/>
        <v>0</v>
      </c>
      <c r="I206" s="45">
        <f t="shared" si="52"/>
        <v>0</v>
      </c>
      <c r="J206" s="333" t="str">
        <f t="shared" si="53"/>
        <v/>
      </c>
      <c r="K206" s="757">
        <f t="shared" si="54"/>
        <v>0</v>
      </c>
      <c r="L206" s="49"/>
      <c r="M206" s="476"/>
      <c r="N206" s="476"/>
      <c r="O206" s="476"/>
      <c r="P206" s="476"/>
      <c r="Q206" s="476"/>
      <c r="R206" s="476"/>
      <c r="S206" s="476"/>
      <c r="T206" s="476"/>
      <c r="U206" s="476"/>
      <c r="V206" s="476"/>
      <c r="W206" s="476"/>
    </row>
    <row r="207" spans="1:23" ht="11.25" customHeight="1" x14ac:dyDescent="0.2">
      <c r="A207" s="469" t="str">
        <f>'Org structure'!A5</f>
        <v>Vote 4 - Energy Services</v>
      </c>
      <c r="B207" s="443"/>
      <c r="C207" s="506">
        <f t="shared" ref="C207:K207" si="55">SUM(C208:C217)</f>
        <v>797672125.25999963</v>
      </c>
      <c r="D207" s="447">
        <f t="shared" si="55"/>
        <v>961329108</v>
      </c>
      <c r="E207" s="444">
        <f t="shared" si="55"/>
        <v>961329708</v>
      </c>
      <c r="F207" s="446">
        <f t="shared" si="55"/>
        <v>70448380.400000006</v>
      </c>
      <c r="G207" s="444">
        <f t="shared" si="55"/>
        <v>412281503.55000001</v>
      </c>
      <c r="H207" s="444">
        <f t="shared" si="55"/>
        <v>400554045</v>
      </c>
      <c r="I207" s="45">
        <f t="shared" si="52"/>
        <v>11727458.550000012</v>
      </c>
      <c r="J207" s="333">
        <f t="shared" si="53"/>
        <v>2.9278092922516891E-2</v>
      </c>
      <c r="K207" s="445">
        <f t="shared" si="55"/>
        <v>961329708</v>
      </c>
      <c r="L207" s="49"/>
      <c r="M207" s="476"/>
      <c r="N207" s="476"/>
      <c r="O207" s="476"/>
      <c r="P207" s="476"/>
      <c r="Q207" s="476"/>
      <c r="R207" s="476"/>
      <c r="S207" s="476"/>
      <c r="T207" s="476"/>
      <c r="U207" s="476"/>
      <c r="V207" s="476"/>
      <c r="W207" s="476"/>
    </row>
    <row r="208" spans="1:23" ht="11.25" customHeight="1" x14ac:dyDescent="0.2">
      <c r="A208" s="410" t="str">
        <f>'Org structure'!E36</f>
        <v>4.1 - Energy Services Admin</v>
      </c>
      <c r="B208" s="448"/>
      <c r="C208" s="397">
        <v>0</v>
      </c>
      <c r="D208" s="386">
        <v>5227608</v>
      </c>
      <c r="E208" s="387">
        <v>5228208</v>
      </c>
      <c r="F208" s="475">
        <v>2963321.71</v>
      </c>
      <c r="G208" s="387">
        <v>13400874.000000002</v>
      </c>
      <c r="H208" s="751">
        <f t="shared" ref="H208:H217" si="56">E208/12*5</f>
        <v>2178420</v>
      </c>
      <c r="I208" s="45">
        <f t="shared" si="52"/>
        <v>11222454.000000002</v>
      </c>
      <c r="J208" s="333">
        <f t="shared" si="53"/>
        <v>5.1516484424491154</v>
      </c>
      <c r="K208" s="398">
        <v>5228208</v>
      </c>
      <c r="L208" s="49"/>
      <c r="M208" s="476"/>
      <c r="N208" s="476"/>
      <c r="O208" s="476"/>
      <c r="P208" s="476"/>
      <c r="Q208" s="476"/>
      <c r="R208" s="476"/>
      <c r="S208" s="476"/>
      <c r="T208" s="476"/>
      <c r="U208" s="476"/>
      <c r="V208" s="476"/>
      <c r="W208" s="476"/>
    </row>
    <row r="209" spans="1:23" ht="11.25" customHeight="1" x14ac:dyDescent="0.2">
      <c r="A209" s="410" t="str">
        <f>'Org structure'!E37</f>
        <v>4.2 - Energy Operation and Maintenance Admininstration</v>
      </c>
      <c r="B209" s="448"/>
      <c r="C209" s="397">
        <v>0</v>
      </c>
      <c r="D209" s="386">
        <v>29042592</v>
      </c>
      <c r="E209" s="387">
        <v>29042592</v>
      </c>
      <c r="F209" s="475">
        <v>100474.69</v>
      </c>
      <c r="G209" s="387">
        <v>373197.19999999995</v>
      </c>
      <c r="H209" s="751">
        <f t="shared" si="56"/>
        <v>12101080</v>
      </c>
      <c r="I209" s="45">
        <f t="shared" si="52"/>
        <v>-11727882.800000001</v>
      </c>
      <c r="J209" s="333">
        <f t="shared" si="53"/>
        <v>-0.96916000885871345</v>
      </c>
      <c r="K209" s="398">
        <v>29042592</v>
      </c>
      <c r="L209" s="49"/>
      <c r="M209" s="476"/>
      <c r="N209" s="476"/>
      <c r="O209" s="476"/>
      <c r="P209" s="476"/>
      <c r="Q209" s="476"/>
      <c r="R209" s="476"/>
      <c r="S209" s="476"/>
      <c r="T209" s="476"/>
      <c r="U209" s="476"/>
      <c r="V209" s="476"/>
      <c r="W209" s="476"/>
    </row>
    <row r="210" spans="1:23" ht="11.25" customHeight="1" x14ac:dyDescent="0.2">
      <c r="A210" s="410" t="str">
        <f>'Org structure'!E38</f>
        <v>4.3 - Energy Services: 66KV Operations, Maitenance: Scada and Protection</v>
      </c>
      <c r="B210" s="448"/>
      <c r="C210" s="397">
        <v>0</v>
      </c>
      <c r="D210" s="386">
        <v>29269788</v>
      </c>
      <c r="E210" s="387">
        <v>29269788</v>
      </c>
      <c r="F210" s="475">
        <v>27765.439999999999</v>
      </c>
      <c r="G210" s="387">
        <v>1231362.74</v>
      </c>
      <c r="H210" s="751">
        <f t="shared" si="56"/>
        <v>12195745</v>
      </c>
      <c r="I210" s="45">
        <f t="shared" si="52"/>
        <v>-10964382.26</v>
      </c>
      <c r="J210" s="333">
        <f t="shared" si="53"/>
        <v>-0.89903341370289391</v>
      </c>
      <c r="K210" s="398">
        <v>29269788</v>
      </c>
      <c r="L210" s="49"/>
      <c r="M210" s="476"/>
      <c r="N210" s="476"/>
      <c r="O210" s="476"/>
      <c r="P210" s="476"/>
      <c r="Q210" s="476"/>
      <c r="R210" s="476"/>
      <c r="S210" s="476"/>
      <c r="T210" s="476"/>
      <c r="U210" s="476"/>
      <c r="V210" s="476"/>
      <c r="W210" s="476"/>
    </row>
    <row r="211" spans="1:23" ht="11.25" customHeight="1" x14ac:dyDescent="0.2">
      <c r="A211" s="410" t="str">
        <f>'Org structure'!E39</f>
        <v>4.4 - Energy Services: 11KV Operations, Maitenance and Construction</v>
      </c>
      <c r="B211" s="448"/>
      <c r="C211" s="397">
        <v>0</v>
      </c>
      <c r="D211" s="386">
        <v>884233536</v>
      </c>
      <c r="E211" s="387">
        <v>884233536</v>
      </c>
      <c r="F211" s="475">
        <v>64605058.799999997</v>
      </c>
      <c r="G211" s="387">
        <v>382987957.36000001</v>
      </c>
      <c r="H211" s="751">
        <f t="shared" si="56"/>
        <v>368430640</v>
      </c>
      <c r="I211" s="45">
        <f t="shared" si="52"/>
        <v>14557317.360000014</v>
      </c>
      <c r="J211" s="333">
        <f t="shared" si="53"/>
        <v>3.9511690341498235E-2</v>
      </c>
      <c r="K211" s="398">
        <v>884233536</v>
      </c>
      <c r="L211" s="49"/>
      <c r="M211" s="476"/>
      <c r="N211" s="476"/>
      <c r="O211" s="476"/>
      <c r="P211" s="476"/>
      <c r="Q211" s="476"/>
      <c r="R211" s="476"/>
      <c r="S211" s="476"/>
      <c r="T211" s="476"/>
      <c r="U211" s="476"/>
      <c r="V211" s="476"/>
      <c r="W211" s="476"/>
    </row>
    <row r="212" spans="1:23" ht="11.25" customHeight="1" x14ac:dyDescent="0.2">
      <c r="A212" s="410" t="str">
        <f>'Org structure'!E40</f>
        <v>4.5 - Energy Services: Planning and development</v>
      </c>
      <c r="B212" s="448"/>
      <c r="C212" s="397">
        <v>797672125.25999963</v>
      </c>
      <c r="D212" s="386">
        <v>13555584</v>
      </c>
      <c r="E212" s="387">
        <v>13555584</v>
      </c>
      <c r="F212" s="475">
        <v>2751759.7600000002</v>
      </c>
      <c r="G212" s="387">
        <v>14288112.25</v>
      </c>
      <c r="H212" s="751">
        <f t="shared" si="56"/>
        <v>5648160</v>
      </c>
      <c r="I212" s="45">
        <f t="shared" si="52"/>
        <v>8639952.25</v>
      </c>
      <c r="J212" s="333">
        <f t="shared" si="53"/>
        <v>1.5296932540862864</v>
      </c>
      <c r="K212" s="398">
        <v>13555584</v>
      </c>
      <c r="L212" s="49"/>
      <c r="M212" s="476"/>
      <c r="N212" s="476"/>
      <c r="O212" s="476"/>
      <c r="P212" s="476"/>
      <c r="Q212" s="476"/>
      <c r="R212" s="476"/>
      <c r="S212" s="476"/>
      <c r="T212" s="476"/>
      <c r="U212" s="476"/>
      <c r="V212" s="476"/>
      <c r="W212" s="476"/>
    </row>
    <row r="213" spans="1:23" ht="11.25" customHeight="1" x14ac:dyDescent="0.2">
      <c r="A213" s="410" t="str">
        <f>'Org structure'!E41</f>
        <v xml:space="preserve">4.6 - </v>
      </c>
      <c r="B213" s="448"/>
      <c r="C213" s="397">
        <v>0</v>
      </c>
      <c r="D213" s="386">
        <v>0</v>
      </c>
      <c r="E213" s="387">
        <v>0</v>
      </c>
      <c r="F213" s="475">
        <v>0</v>
      </c>
      <c r="G213" s="387">
        <v>0</v>
      </c>
      <c r="H213" s="751">
        <f t="shared" si="56"/>
        <v>0</v>
      </c>
      <c r="I213" s="45">
        <f t="shared" si="52"/>
        <v>0</v>
      </c>
      <c r="J213" s="333" t="str">
        <f t="shared" si="53"/>
        <v/>
      </c>
      <c r="K213" s="398">
        <f t="shared" ref="K213:K217" si="57">D213</f>
        <v>0</v>
      </c>
      <c r="L213" s="49"/>
      <c r="M213" s="476"/>
      <c r="N213" s="476"/>
      <c r="O213" s="476"/>
      <c r="P213" s="476"/>
      <c r="Q213" s="476"/>
      <c r="R213" s="476"/>
      <c r="S213" s="476"/>
      <c r="T213" s="476"/>
      <c r="U213" s="476"/>
      <c r="V213" s="476"/>
      <c r="W213" s="476"/>
    </row>
    <row r="214" spans="1:23" ht="11.25" customHeight="1" x14ac:dyDescent="0.2">
      <c r="A214" s="410" t="str">
        <f>'Org structure'!E42</f>
        <v xml:space="preserve">4.7 - </v>
      </c>
      <c r="B214" s="448"/>
      <c r="C214" s="397">
        <v>0</v>
      </c>
      <c r="D214" s="386">
        <v>0</v>
      </c>
      <c r="E214" s="387">
        <v>0</v>
      </c>
      <c r="F214" s="475">
        <v>0</v>
      </c>
      <c r="G214" s="387">
        <v>0</v>
      </c>
      <c r="H214" s="751">
        <f t="shared" si="56"/>
        <v>0</v>
      </c>
      <c r="I214" s="45">
        <f t="shared" si="52"/>
        <v>0</v>
      </c>
      <c r="J214" s="333" t="str">
        <f t="shared" si="53"/>
        <v/>
      </c>
      <c r="K214" s="398">
        <f t="shared" si="57"/>
        <v>0</v>
      </c>
      <c r="L214" s="49"/>
      <c r="M214" s="476"/>
      <c r="N214" s="476"/>
      <c r="O214" s="476"/>
      <c r="P214" s="476"/>
      <c r="Q214" s="476"/>
      <c r="R214" s="476"/>
      <c r="S214" s="476"/>
      <c r="T214" s="476"/>
      <c r="U214" s="476"/>
      <c r="V214" s="476"/>
      <c r="W214" s="476"/>
    </row>
    <row r="215" spans="1:23" ht="11.25" customHeight="1" x14ac:dyDescent="0.2">
      <c r="A215" s="410" t="str">
        <f>'Org structure'!E43</f>
        <v xml:space="preserve">4.8 - </v>
      </c>
      <c r="B215" s="448"/>
      <c r="C215" s="397">
        <v>0</v>
      </c>
      <c r="D215" s="386">
        <v>0</v>
      </c>
      <c r="E215" s="387">
        <v>0</v>
      </c>
      <c r="F215" s="475">
        <v>0</v>
      </c>
      <c r="G215" s="387">
        <v>0</v>
      </c>
      <c r="H215" s="751">
        <f t="shared" si="56"/>
        <v>0</v>
      </c>
      <c r="I215" s="45">
        <f t="shared" si="52"/>
        <v>0</v>
      </c>
      <c r="J215" s="333" t="str">
        <f t="shared" si="53"/>
        <v/>
      </c>
      <c r="K215" s="398">
        <f t="shared" si="57"/>
        <v>0</v>
      </c>
      <c r="L215" s="49"/>
      <c r="M215" s="476"/>
      <c r="N215" s="476"/>
      <c r="O215" s="476"/>
      <c r="P215" s="476"/>
      <c r="Q215" s="476"/>
      <c r="R215" s="476"/>
      <c r="S215" s="476"/>
      <c r="T215" s="476"/>
      <c r="U215" s="476"/>
      <c r="V215" s="476"/>
      <c r="W215" s="476"/>
    </row>
    <row r="216" spans="1:23" ht="11.25" customHeight="1" x14ac:dyDescent="0.2">
      <c r="A216" s="410" t="str">
        <f>'Org structure'!E44</f>
        <v xml:space="preserve">4.9 - </v>
      </c>
      <c r="B216" s="448"/>
      <c r="C216" s="397">
        <v>0</v>
      </c>
      <c r="D216" s="386">
        <v>0</v>
      </c>
      <c r="E216" s="387">
        <v>0</v>
      </c>
      <c r="F216" s="475">
        <v>0</v>
      </c>
      <c r="G216" s="387">
        <v>0</v>
      </c>
      <c r="H216" s="751">
        <f t="shared" si="56"/>
        <v>0</v>
      </c>
      <c r="I216" s="45">
        <f t="shared" si="52"/>
        <v>0</v>
      </c>
      <c r="J216" s="333" t="str">
        <f t="shared" si="53"/>
        <v/>
      </c>
      <c r="K216" s="398">
        <f t="shared" si="57"/>
        <v>0</v>
      </c>
      <c r="L216" s="49"/>
      <c r="M216" s="476"/>
      <c r="N216" s="476"/>
      <c r="O216" s="476"/>
      <c r="P216" s="476"/>
      <c r="Q216" s="476"/>
      <c r="R216" s="476"/>
      <c r="S216" s="476"/>
      <c r="T216" s="476"/>
      <c r="U216" s="476"/>
      <c r="V216" s="476"/>
      <c r="W216" s="476"/>
    </row>
    <row r="217" spans="1:23" ht="11.25" customHeight="1" x14ac:dyDescent="0.2">
      <c r="A217" s="410" t="str">
        <f>'Org structure'!E45</f>
        <v xml:space="preserve">4.10 - </v>
      </c>
      <c r="B217" s="448"/>
      <c r="C217" s="397">
        <v>0</v>
      </c>
      <c r="D217" s="386">
        <v>0</v>
      </c>
      <c r="E217" s="387">
        <v>0</v>
      </c>
      <c r="F217" s="475">
        <v>0</v>
      </c>
      <c r="G217" s="387">
        <v>0</v>
      </c>
      <c r="H217" s="751">
        <f t="shared" si="56"/>
        <v>0</v>
      </c>
      <c r="I217" s="45">
        <f t="shared" si="52"/>
        <v>0</v>
      </c>
      <c r="J217" s="333" t="str">
        <f t="shared" si="53"/>
        <v/>
      </c>
      <c r="K217" s="398">
        <f t="shared" si="57"/>
        <v>0</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58">SUM(C219:C228)</f>
        <v>273839589.5</v>
      </c>
      <c r="D218" s="447">
        <f t="shared" si="58"/>
        <v>338671680</v>
      </c>
      <c r="E218" s="444">
        <f t="shared" si="58"/>
        <v>340022380</v>
      </c>
      <c r="F218" s="446">
        <f t="shared" si="58"/>
        <v>22931113.589999996</v>
      </c>
      <c r="G218" s="444">
        <f t="shared" si="58"/>
        <v>94680191.170000017</v>
      </c>
      <c r="H218" s="444">
        <f t="shared" si="58"/>
        <v>141675991.66666666</v>
      </c>
      <c r="I218" s="45">
        <f t="shared" si="52"/>
        <v>-46995800.49666664</v>
      </c>
      <c r="J218" s="333">
        <f t="shared" si="53"/>
        <v>-0.33171322779400564</v>
      </c>
      <c r="K218" s="445">
        <f t="shared" si="58"/>
        <v>340022380</v>
      </c>
      <c r="L218" s="49"/>
      <c r="M218" s="476"/>
      <c r="N218" s="476"/>
      <c r="O218" s="476"/>
      <c r="P218" s="476"/>
      <c r="Q218" s="476"/>
      <c r="R218" s="476"/>
      <c r="S218" s="476"/>
      <c r="T218" s="476"/>
      <c r="U218" s="476"/>
      <c r="V218" s="476"/>
      <c r="W218" s="476"/>
    </row>
    <row r="219" spans="1:23" ht="11.25" customHeight="1" x14ac:dyDescent="0.2">
      <c r="A219" s="410" t="str">
        <f>'Org structure'!E47</f>
        <v>5.1 - Directorate Community Services</v>
      </c>
      <c r="B219" s="448"/>
      <c r="C219" s="397">
        <v>0</v>
      </c>
      <c r="D219" s="386">
        <v>0</v>
      </c>
      <c r="E219" s="387">
        <v>0</v>
      </c>
      <c r="F219" s="475">
        <v>0</v>
      </c>
      <c r="G219" s="387">
        <v>0</v>
      </c>
      <c r="H219" s="751">
        <f t="shared" ref="H219:H228" si="59">E219/12*5</f>
        <v>0</v>
      </c>
      <c r="I219" s="45">
        <f t="shared" si="52"/>
        <v>0</v>
      </c>
      <c r="J219" s="333" t="str">
        <f t="shared" si="53"/>
        <v/>
      </c>
      <c r="K219" s="398">
        <f>D219</f>
        <v>0</v>
      </c>
      <c r="L219" s="49"/>
      <c r="M219" s="476"/>
      <c r="N219" s="476"/>
      <c r="O219" s="476"/>
      <c r="P219" s="476"/>
      <c r="Q219" s="476"/>
      <c r="R219" s="476"/>
      <c r="S219" s="476"/>
      <c r="T219" s="476"/>
      <c r="U219" s="476"/>
      <c r="V219" s="476"/>
      <c r="W219" s="476"/>
    </row>
    <row r="220" spans="1:23" ht="11.25" customHeight="1" x14ac:dyDescent="0.2">
      <c r="A220" s="410" t="str">
        <f>'Org structure'!E48</f>
        <v>5.2 - Sport and Recreation</v>
      </c>
      <c r="B220" s="448"/>
      <c r="C220" s="397">
        <v>43080663.31000001</v>
      </c>
      <c r="D220" s="386">
        <v>16531320</v>
      </c>
      <c r="E220" s="387">
        <v>16281420</v>
      </c>
      <c r="F220" s="475">
        <v>4923129.3</v>
      </c>
      <c r="G220" s="387">
        <v>18500624.869999997</v>
      </c>
      <c r="H220" s="751">
        <f t="shared" si="59"/>
        <v>6783925</v>
      </c>
      <c r="I220" s="45">
        <f t="shared" si="52"/>
        <v>11716699.869999997</v>
      </c>
      <c r="J220" s="333">
        <f t="shared" si="53"/>
        <v>1.7271269759025929</v>
      </c>
      <c r="K220" s="398">
        <v>16281420</v>
      </c>
      <c r="L220" s="49"/>
      <c r="M220" s="476"/>
      <c r="N220" s="476"/>
      <c r="O220" s="476"/>
      <c r="P220" s="476"/>
      <c r="Q220" s="476"/>
      <c r="R220" s="476"/>
      <c r="S220" s="476"/>
      <c r="T220" s="476"/>
      <c r="U220" s="476"/>
      <c r="V220" s="476"/>
      <c r="W220" s="476"/>
    </row>
    <row r="221" spans="1:23" ht="11.25" customHeight="1" x14ac:dyDescent="0.2">
      <c r="A221" s="410" t="str">
        <f>'Org structure'!E49</f>
        <v>5.3 - Sport and Facilities Maintenance</v>
      </c>
      <c r="B221" s="448"/>
      <c r="C221" s="397">
        <v>0</v>
      </c>
      <c r="D221" s="386">
        <v>73533108</v>
      </c>
      <c r="E221" s="387">
        <v>73910992</v>
      </c>
      <c r="F221" s="475">
        <v>1075274.73</v>
      </c>
      <c r="G221" s="387">
        <v>5306912.5300000012</v>
      </c>
      <c r="H221" s="751">
        <f t="shared" si="59"/>
        <v>30796246.666666664</v>
      </c>
      <c r="I221" s="45">
        <f t="shared" si="52"/>
        <v>-25489334.136666663</v>
      </c>
      <c r="J221" s="333">
        <f t="shared" si="53"/>
        <v>-0.82767664555226095</v>
      </c>
      <c r="K221" s="398">
        <v>73910992</v>
      </c>
      <c r="L221" s="49"/>
      <c r="M221" s="476"/>
      <c r="N221" s="476"/>
      <c r="O221" s="476"/>
      <c r="P221" s="476"/>
      <c r="Q221" s="476"/>
      <c r="R221" s="476"/>
      <c r="S221" s="476"/>
      <c r="T221" s="476"/>
      <c r="U221" s="476"/>
      <c r="V221" s="476"/>
      <c r="W221" s="476"/>
    </row>
    <row r="222" spans="1:23" ht="11.25" customHeight="1" x14ac:dyDescent="0.2">
      <c r="A222" s="410" t="str">
        <f>'Org structure'!E50</f>
        <v>5.4 - Swimming Pools</v>
      </c>
      <c r="B222" s="448"/>
      <c r="C222" s="397">
        <v>0</v>
      </c>
      <c r="D222" s="386">
        <v>7282404</v>
      </c>
      <c r="E222" s="387">
        <v>7282404</v>
      </c>
      <c r="F222" s="475">
        <v>876445.93</v>
      </c>
      <c r="G222" s="387">
        <v>5055648.0200000005</v>
      </c>
      <c r="H222" s="751">
        <f t="shared" si="59"/>
        <v>3034335</v>
      </c>
      <c r="I222" s="45">
        <f t="shared" si="52"/>
        <v>2021313.0200000005</v>
      </c>
      <c r="J222" s="333">
        <f t="shared" si="53"/>
        <v>0.66614695476933183</v>
      </c>
      <c r="K222" s="398">
        <v>7282404</v>
      </c>
      <c r="L222" s="49"/>
      <c r="M222" s="476"/>
      <c r="N222" s="476"/>
      <c r="O222" s="476"/>
      <c r="P222" s="476"/>
      <c r="Q222" s="476"/>
      <c r="R222" s="476"/>
      <c r="S222" s="476"/>
      <c r="T222" s="476"/>
      <c r="U222" s="476"/>
      <c r="V222" s="476"/>
      <c r="W222" s="476"/>
    </row>
    <row r="223" spans="1:23" ht="11.25" customHeight="1" x14ac:dyDescent="0.2">
      <c r="A223" s="410" t="str">
        <f>'Org structure'!E51</f>
        <v>5.5 - Museums and Art Galleries</v>
      </c>
      <c r="B223" s="448"/>
      <c r="C223" s="397">
        <v>7940788.700000002</v>
      </c>
      <c r="D223" s="386">
        <v>11567508</v>
      </c>
      <c r="E223" s="387">
        <v>11567508</v>
      </c>
      <c r="F223" s="475">
        <v>0</v>
      </c>
      <c r="G223" s="387">
        <v>0</v>
      </c>
      <c r="H223" s="751">
        <f t="shared" si="59"/>
        <v>4819795</v>
      </c>
      <c r="I223" s="45">
        <f t="shared" si="52"/>
        <v>-4819795</v>
      </c>
      <c r="J223" s="333">
        <f t="shared" si="53"/>
        <v>-1</v>
      </c>
      <c r="K223" s="398">
        <v>11567508</v>
      </c>
      <c r="L223" s="49"/>
      <c r="M223" s="476"/>
      <c r="N223" s="476"/>
      <c r="O223" s="476"/>
      <c r="P223" s="476"/>
      <c r="Q223" s="476"/>
      <c r="R223" s="476"/>
      <c r="S223" s="476"/>
      <c r="T223" s="476"/>
      <c r="U223" s="476"/>
      <c r="V223" s="476"/>
      <c r="W223" s="476"/>
    </row>
    <row r="224" spans="1:23" ht="11.25" customHeight="1" x14ac:dyDescent="0.2">
      <c r="A224" s="410" t="str">
        <f>'Org structure'!E52</f>
        <v>5.6 - Libraries and Archives</v>
      </c>
      <c r="B224" s="448"/>
      <c r="C224" s="397">
        <v>16911705.619999997</v>
      </c>
      <c r="D224" s="386">
        <v>21293292</v>
      </c>
      <c r="E224" s="387">
        <v>21293292</v>
      </c>
      <c r="F224" s="475">
        <v>257739.06</v>
      </c>
      <c r="G224" s="387">
        <v>1576152.0099999998</v>
      </c>
      <c r="H224" s="751">
        <f t="shared" si="59"/>
        <v>8872205</v>
      </c>
      <c r="I224" s="45">
        <f t="shared" si="52"/>
        <v>-7296052.9900000002</v>
      </c>
      <c r="J224" s="333">
        <f t="shared" si="53"/>
        <v>-0.8223494599144181</v>
      </c>
      <c r="K224" s="398">
        <v>21293292</v>
      </c>
      <c r="L224" s="49"/>
      <c r="M224" s="476"/>
      <c r="N224" s="476"/>
      <c r="O224" s="476"/>
      <c r="P224" s="476"/>
      <c r="Q224" s="476"/>
      <c r="R224" s="476"/>
      <c r="S224" s="476"/>
      <c r="T224" s="476"/>
      <c r="U224" s="476"/>
      <c r="V224" s="476"/>
      <c r="W224" s="476"/>
    </row>
    <row r="225" spans="1:23" ht="11.25" customHeight="1" x14ac:dyDescent="0.2">
      <c r="A225" s="410" t="str">
        <f>'Org structure'!E53</f>
        <v>5.7 - Culture Services</v>
      </c>
      <c r="B225" s="448"/>
      <c r="C225" s="397">
        <v>3582035.4499999988</v>
      </c>
      <c r="D225" s="386">
        <v>5061900</v>
      </c>
      <c r="E225" s="387">
        <v>5061900</v>
      </c>
      <c r="F225" s="475">
        <v>615230.09</v>
      </c>
      <c r="G225" s="387">
        <v>3248485.4399999995</v>
      </c>
      <c r="H225" s="751">
        <f t="shared" si="59"/>
        <v>2109125</v>
      </c>
      <c r="I225" s="45">
        <f t="shared" si="52"/>
        <v>1139360.4399999995</v>
      </c>
      <c r="J225" s="333">
        <f t="shared" si="53"/>
        <v>0.54020526995792073</v>
      </c>
      <c r="K225" s="398">
        <v>5061900</v>
      </c>
      <c r="L225" s="49"/>
      <c r="M225" s="476"/>
      <c r="N225" s="476"/>
      <c r="O225" s="476"/>
      <c r="P225" s="476"/>
      <c r="Q225" s="476"/>
      <c r="R225" s="476"/>
      <c r="S225" s="476"/>
      <c r="T225" s="476"/>
      <c r="U225" s="476"/>
      <c r="V225" s="476"/>
      <c r="W225" s="476"/>
    </row>
    <row r="226" spans="1:23" ht="11.25" customHeight="1" x14ac:dyDescent="0.2">
      <c r="A226" s="410" t="str">
        <f>'Org structure'!E54</f>
        <v>5.8 - Cemetaries</v>
      </c>
      <c r="B226" s="448"/>
      <c r="C226" s="397">
        <v>14303708.589999998</v>
      </c>
      <c r="D226" s="386">
        <v>7052016</v>
      </c>
      <c r="E226" s="387">
        <v>8152016</v>
      </c>
      <c r="F226" s="475">
        <v>1583086.6199999996</v>
      </c>
      <c r="G226" s="387">
        <v>7704565.9600000009</v>
      </c>
      <c r="H226" s="751">
        <f t="shared" si="59"/>
        <v>3396673.333333333</v>
      </c>
      <c r="I226" s="45">
        <f t="shared" si="52"/>
        <v>4307892.6266666679</v>
      </c>
      <c r="J226" s="333">
        <f t="shared" si="53"/>
        <v>1.2682681564903704</v>
      </c>
      <c r="K226" s="398">
        <v>8152016</v>
      </c>
      <c r="L226" s="49"/>
      <c r="M226" s="476"/>
      <c r="N226" s="476"/>
      <c r="O226" s="476"/>
      <c r="P226" s="476"/>
      <c r="Q226" s="476"/>
      <c r="R226" s="476"/>
      <c r="S226" s="476"/>
      <c r="T226" s="476"/>
      <c r="U226" s="476"/>
      <c r="V226" s="476"/>
      <c r="W226" s="476"/>
    </row>
    <row r="227" spans="1:23" ht="11.25" customHeight="1" x14ac:dyDescent="0.2">
      <c r="A227" s="410" t="str">
        <f>'Org structure'!E55</f>
        <v>5.9 - Waste Management</v>
      </c>
      <c r="B227" s="448"/>
      <c r="C227" s="397">
        <v>121541830.21999998</v>
      </c>
      <c r="D227" s="386">
        <v>129363696</v>
      </c>
      <c r="E227" s="387">
        <v>129236012</v>
      </c>
      <c r="F227" s="475">
        <v>32141.010000000002</v>
      </c>
      <c r="G227" s="387">
        <v>134004.21000000002</v>
      </c>
      <c r="H227" s="751">
        <f t="shared" si="59"/>
        <v>53848338.333333328</v>
      </c>
      <c r="I227" s="45">
        <f t="shared" si="52"/>
        <v>-53714334.123333327</v>
      </c>
      <c r="J227" s="333">
        <f t="shared" si="53"/>
        <v>-0.99751145134376318</v>
      </c>
      <c r="K227" s="398">
        <v>129236012</v>
      </c>
      <c r="L227" s="49"/>
      <c r="M227" s="476"/>
      <c r="N227" s="476"/>
      <c r="O227" s="476"/>
      <c r="P227" s="476"/>
      <c r="Q227" s="476"/>
      <c r="R227" s="476"/>
      <c r="S227" s="476"/>
      <c r="T227" s="476"/>
      <c r="U227" s="476"/>
      <c r="V227" s="476"/>
      <c r="W227" s="476"/>
    </row>
    <row r="228" spans="1:23" ht="11.25" customHeight="1" x14ac:dyDescent="0.2">
      <c r="A228" s="410" t="str">
        <f>'Org structure'!E56</f>
        <v>5.10 - Other Community Services</v>
      </c>
      <c r="B228" s="448"/>
      <c r="C228" s="397">
        <v>66478857.610000014</v>
      </c>
      <c r="D228" s="386">
        <v>66986436</v>
      </c>
      <c r="E228" s="387">
        <v>67236836</v>
      </c>
      <c r="F228" s="475">
        <v>13568066.849999998</v>
      </c>
      <c r="G228" s="387">
        <v>53153798.13000001</v>
      </c>
      <c r="H228" s="751">
        <f t="shared" si="59"/>
        <v>28015348.333333336</v>
      </c>
      <c r="I228" s="45">
        <f t="shared" si="52"/>
        <v>25138449.796666674</v>
      </c>
      <c r="J228" s="333">
        <f t="shared" si="53"/>
        <v>0.8973099137502546</v>
      </c>
      <c r="K228" s="398">
        <v>67236836</v>
      </c>
      <c r="L228" s="49"/>
      <c r="M228" s="476"/>
      <c r="N228" s="476"/>
      <c r="O228" s="476"/>
      <c r="P228" s="476"/>
      <c r="Q228" s="476"/>
      <c r="R228" s="476"/>
      <c r="S228" s="476"/>
      <c r="T228" s="476"/>
      <c r="U228" s="476"/>
      <c r="V228" s="476"/>
      <c r="W228" s="476"/>
    </row>
    <row r="229" spans="1:23" ht="11.25" customHeight="1" x14ac:dyDescent="0.2">
      <c r="A229" s="469" t="str">
        <f>'Org structure'!A7</f>
        <v>Vote 6 - Public Safety</v>
      </c>
      <c r="B229" s="443"/>
      <c r="C229" s="506">
        <f t="shared" ref="C229:K229" si="60">SUM(C230:C239)</f>
        <v>234959699.64000002</v>
      </c>
      <c r="D229" s="447">
        <f t="shared" si="60"/>
        <v>278091984</v>
      </c>
      <c r="E229" s="444">
        <f t="shared" si="60"/>
        <v>276618884</v>
      </c>
      <c r="F229" s="446">
        <f t="shared" si="60"/>
        <v>22866689.899999999</v>
      </c>
      <c r="G229" s="444">
        <f t="shared" si="60"/>
        <v>100722079.18000001</v>
      </c>
      <c r="H229" s="444">
        <f t="shared" si="60"/>
        <v>115257868.33333334</v>
      </c>
      <c r="I229" s="45">
        <f t="shared" si="52"/>
        <v>-14535789.153333336</v>
      </c>
      <c r="J229" s="333">
        <f t="shared" si="53"/>
        <v>-0.1261153738441082</v>
      </c>
      <c r="K229" s="445">
        <f t="shared" si="60"/>
        <v>276618884</v>
      </c>
      <c r="L229" s="49"/>
      <c r="M229" s="476"/>
      <c r="N229" s="476"/>
      <c r="O229" s="476"/>
      <c r="P229" s="476"/>
      <c r="Q229" s="476"/>
      <c r="R229" s="476"/>
      <c r="S229" s="476"/>
      <c r="T229" s="476"/>
      <c r="U229" s="476"/>
      <c r="V229" s="476"/>
      <c r="W229" s="476"/>
    </row>
    <row r="230" spans="1:23" ht="11.25" customHeight="1" x14ac:dyDescent="0.2">
      <c r="A230" s="410" t="str">
        <f>'Org structure'!E58</f>
        <v>6.1 - Security Services</v>
      </c>
      <c r="B230" s="448"/>
      <c r="C230" s="397">
        <v>89974906.520000011</v>
      </c>
      <c r="D230" s="386">
        <v>98261016</v>
      </c>
      <c r="E230" s="387">
        <v>96264616</v>
      </c>
      <c r="F230" s="475">
        <v>8871.57</v>
      </c>
      <c r="G230" s="387">
        <v>33786.449999999997</v>
      </c>
      <c r="H230" s="751">
        <f t="shared" ref="H230:H239" si="61">E230/12*5</f>
        <v>40110256.666666664</v>
      </c>
      <c r="I230" s="45">
        <f t="shared" si="52"/>
        <v>-40076470.216666661</v>
      </c>
      <c r="J230" s="333">
        <f t="shared" si="53"/>
        <v>-0.99915766058839306</v>
      </c>
      <c r="K230" s="398">
        <v>96264616</v>
      </c>
      <c r="L230" s="49"/>
      <c r="M230" s="476"/>
      <c r="N230" s="476"/>
      <c r="O230" s="476"/>
      <c r="P230" s="476"/>
      <c r="Q230" s="476"/>
      <c r="R230" s="476"/>
      <c r="S230" s="476"/>
      <c r="T230" s="476"/>
      <c r="U230" s="476"/>
      <c r="V230" s="476"/>
      <c r="W230" s="476"/>
    </row>
    <row r="231" spans="1:23" ht="11.25" customHeight="1" x14ac:dyDescent="0.2">
      <c r="A231" s="410" t="str">
        <f>'Org structure'!E59</f>
        <v>6.2 - Fire and Emergency Services</v>
      </c>
      <c r="B231" s="448"/>
      <c r="C231" s="397">
        <v>18446167.73</v>
      </c>
      <c r="D231" s="386">
        <v>0</v>
      </c>
      <c r="E231" s="387">
        <v>0</v>
      </c>
      <c r="F231" s="475">
        <v>22274.13</v>
      </c>
      <c r="G231" s="387">
        <v>127619.06000000001</v>
      </c>
      <c r="H231" s="751">
        <f t="shared" si="61"/>
        <v>0</v>
      </c>
      <c r="I231" s="45">
        <f t="shared" si="52"/>
        <v>127619.06000000001</v>
      </c>
      <c r="J231" s="333" t="e">
        <f t="shared" si="53"/>
        <v>#DIV/0!</v>
      </c>
      <c r="K231" s="398">
        <v>0</v>
      </c>
      <c r="L231" s="49"/>
      <c r="M231" s="476"/>
      <c r="N231" s="476"/>
      <c r="O231" s="476"/>
      <c r="P231" s="476"/>
      <c r="Q231" s="476"/>
      <c r="R231" s="476"/>
      <c r="S231" s="476"/>
      <c r="T231" s="476"/>
      <c r="U231" s="476"/>
      <c r="V231" s="476"/>
      <c r="W231" s="476"/>
    </row>
    <row r="232" spans="1:23" ht="11.25" customHeight="1" x14ac:dyDescent="0.2">
      <c r="A232" s="410" t="str">
        <f>'Org structure'!E60</f>
        <v>6.3 - Public Safety Administrative</v>
      </c>
      <c r="B232" s="448"/>
      <c r="C232" s="397">
        <v>0</v>
      </c>
      <c r="D232" s="386">
        <v>9080412</v>
      </c>
      <c r="E232" s="387">
        <v>9080412</v>
      </c>
      <c r="F232" s="475">
        <v>1143163.6199999999</v>
      </c>
      <c r="G232" s="387">
        <v>4328284.58</v>
      </c>
      <c r="H232" s="751">
        <f t="shared" si="61"/>
        <v>3783505</v>
      </c>
      <c r="I232" s="45">
        <f t="shared" si="52"/>
        <v>544779.58000000007</v>
      </c>
      <c r="J232" s="333">
        <f t="shared" si="53"/>
        <v>0.14398806926381758</v>
      </c>
      <c r="K232" s="398">
        <v>9080412</v>
      </c>
      <c r="L232" s="49"/>
      <c r="M232" s="476"/>
      <c r="N232" s="476"/>
      <c r="O232" s="476"/>
      <c r="P232" s="476"/>
      <c r="Q232" s="476"/>
      <c r="R232" s="476"/>
      <c r="S232" s="476"/>
      <c r="T232" s="476"/>
      <c r="U232" s="476"/>
      <c r="V232" s="476"/>
      <c r="W232" s="476"/>
    </row>
    <row r="233" spans="1:23" ht="11.25" customHeight="1" x14ac:dyDescent="0.2">
      <c r="A233" s="410" t="str">
        <f>'Org structure'!E61</f>
        <v>6.4 - Licensing</v>
      </c>
      <c r="B233" s="448"/>
      <c r="C233" s="397">
        <v>0</v>
      </c>
      <c r="D233" s="386">
        <v>13220700</v>
      </c>
      <c r="E233" s="387">
        <v>13220800</v>
      </c>
      <c r="F233" s="475">
        <v>7208651.4199999999</v>
      </c>
      <c r="G233" s="387">
        <v>38029873.980000004</v>
      </c>
      <c r="H233" s="751">
        <f t="shared" si="61"/>
        <v>5508666.666666666</v>
      </c>
      <c r="I233" s="45">
        <f t="shared" si="52"/>
        <v>32521207.31333334</v>
      </c>
      <c r="J233" s="333">
        <f t="shared" si="53"/>
        <v>5.9036440723708115</v>
      </c>
      <c r="K233" s="398">
        <v>13220800</v>
      </c>
      <c r="L233" s="49"/>
      <c r="M233" s="476"/>
      <c r="N233" s="476"/>
      <c r="O233" s="476"/>
      <c r="P233" s="476"/>
      <c r="Q233" s="476"/>
      <c r="R233" s="476"/>
      <c r="S233" s="476"/>
      <c r="T233" s="476"/>
      <c r="U233" s="476"/>
      <c r="V233" s="476"/>
      <c r="W233" s="476"/>
    </row>
    <row r="234" spans="1:23" ht="11.25" customHeight="1" x14ac:dyDescent="0.2">
      <c r="A234" s="410" t="str">
        <f>'Org structure'!E62</f>
        <v>6.5 - Vehicle Licensing and Testing</v>
      </c>
      <c r="B234" s="448"/>
      <c r="C234" s="397">
        <v>0</v>
      </c>
      <c r="D234" s="386">
        <v>12592500</v>
      </c>
      <c r="E234" s="387">
        <v>12592500</v>
      </c>
      <c r="F234" s="475">
        <v>54610.559999999998</v>
      </c>
      <c r="G234" s="387">
        <v>328891.42</v>
      </c>
      <c r="H234" s="751">
        <f t="shared" si="61"/>
        <v>5246875</v>
      </c>
      <c r="I234" s="45">
        <f t="shared" si="52"/>
        <v>-4917983.58</v>
      </c>
      <c r="J234" s="333">
        <f t="shared" si="53"/>
        <v>-0.93731670375223353</v>
      </c>
      <c r="K234" s="398">
        <v>12592500</v>
      </c>
      <c r="L234" s="49"/>
      <c r="M234" s="476"/>
      <c r="N234" s="476"/>
      <c r="O234" s="476"/>
      <c r="P234" s="476"/>
      <c r="Q234" s="476"/>
      <c r="R234" s="476"/>
      <c r="S234" s="476"/>
      <c r="T234" s="476"/>
      <c r="U234" s="476"/>
      <c r="V234" s="476"/>
      <c r="W234" s="476"/>
    </row>
    <row r="235" spans="1:23" ht="11.25" customHeight="1" x14ac:dyDescent="0.2">
      <c r="A235" s="410" t="str">
        <f>'Org structure'!E63</f>
        <v>6.6 - Traffic</v>
      </c>
      <c r="B235" s="448"/>
      <c r="C235" s="397">
        <v>122843281.86000003</v>
      </c>
      <c r="D235" s="386">
        <v>76860384</v>
      </c>
      <c r="E235" s="387">
        <v>77383384</v>
      </c>
      <c r="F235" s="475">
        <v>3622975.6099999994</v>
      </c>
      <c r="G235" s="387">
        <v>18837387.100000001</v>
      </c>
      <c r="H235" s="751">
        <f t="shared" si="61"/>
        <v>32243076.666666664</v>
      </c>
      <c r="I235" s="45">
        <f t="shared" si="52"/>
        <v>-13405689.566666663</v>
      </c>
      <c r="J235" s="333">
        <f t="shared" si="53"/>
        <v>-0.41576955280218802</v>
      </c>
      <c r="K235" s="398">
        <v>77383384</v>
      </c>
      <c r="L235" s="49"/>
      <c r="M235" s="476"/>
      <c r="N235" s="476"/>
      <c r="O235" s="476"/>
      <c r="P235" s="476"/>
      <c r="Q235" s="476"/>
      <c r="R235" s="476"/>
      <c r="S235" s="476"/>
      <c r="T235" s="476"/>
      <c r="U235" s="476"/>
      <c r="V235" s="476"/>
      <c r="W235" s="476"/>
    </row>
    <row r="236" spans="1:23" ht="11.25" customHeight="1" x14ac:dyDescent="0.2">
      <c r="A236" s="410" t="str">
        <f>'Org structure'!E64</f>
        <v>6.7 - By-Law Enforcement and Security (administration)</v>
      </c>
      <c r="B236" s="448"/>
      <c r="C236" s="397">
        <v>0</v>
      </c>
      <c r="D236" s="386">
        <v>1734612</v>
      </c>
      <c r="E236" s="387">
        <v>1734612</v>
      </c>
      <c r="F236" s="475">
        <v>0</v>
      </c>
      <c r="G236" s="387">
        <v>-64510.93</v>
      </c>
      <c r="H236" s="751">
        <f t="shared" si="61"/>
        <v>722755</v>
      </c>
      <c r="I236" s="45">
        <f t="shared" si="52"/>
        <v>-787265.93</v>
      </c>
      <c r="J236" s="333">
        <f t="shared" si="53"/>
        <v>-1.089256981964843</v>
      </c>
      <c r="K236" s="398">
        <v>1734612</v>
      </c>
      <c r="L236" s="49"/>
      <c r="M236" s="476"/>
      <c r="N236" s="476"/>
      <c r="O236" s="476"/>
      <c r="P236" s="476"/>
      <c r="Q236" s="476"/>
      <c r="R236" s="476"/>
      <c r="S236" s="476"/>
      <c r="T236" s="476"/>
      <c r="U236" s="476"/>
      <c r="V236" s="476"/>
      <c r="W236" s="476"/>
    </row>
    <row r="237" spans="1:23" ht="11.25" customHeight="1" x14ac:dyDescent="0.2">
      <c r="A237" s="410" t="str">
        <f>'Org structure'!E65</f>
        <v>6.8 - Disaster Management</v>
      </c>
      <c r="B237" s="448"/>
      <c r="C237" s="397">
        <v>136965.64000000001</v>
      </c>
      <c r="D237" s="386">
        <v>59701800</v>
      </c>
      <c r="E237" s="387">
        <v>59702000</v>
      </c>
      <c r="F237" s="475">
        <v>1598112.36</v>
      </c>
      <c r="G237" s="387">
        <v>7799307.7400000002</v>
      </c>
      <c r="H237" s="751">
        <f t="shared" si="61"/>
        <v>24875833.333333336</v>
      </c>
      <c r="I237" s="45">
        <f t="shared" si="52"/>
        <v>-17076525.593333334</v>
      </c>
      <c r="J237" s="333">
        <f t="shared" si="53"/>
        <v>-0.68647049385280223</v>
      </c>
      <c r="K237" s="398">
        <v>59702000</v>
      </c>
      <c r="L237" s="49"/>
      <c r="M237" s="476"/>
      <c r="N237" s="476"/>
      <c r="O237" s="476"/>
      <c r="P237" s="476"/>
      <c r="Q237" s="476"/>
      <c r="R237" s="476"/>
      <c r="S237" s="476"/>
      <c r="T237" s="476"/>
      <c r="U237" s="476"/>
      <c r="V237" s="476"/>
      <c r="W237" s="476"/>
    </row>
    <row r="238" spans="1:23" ht="11.25" customHeight="1" x14ac:dyDescent="0.2">
      <c r="A238" s="410" t="str">
        <f>'Org structure'!E66</f>
        <v>6.9 - Health Services</v>
      </c>
      <c r="B238" s="448"/>
      <c r="C238" s="397">
        <v>3558377.8899999992</v>
      </c>
      <c r="D238" s="386">
        <v>6640560</v>
      </c>
      <c r="E238" s="387">
        <v>6640560</v>
      </c>
      <c r="F238" s="475">
        <v>8375504.3399999999</v>
      </c>
      <c r="G238" s="387">
        <v>27011351.299999997</v>
      </c>
      <c r="H238" s="751">
        <f t="shared" si="61"/>
        <v>2766900</v>
      </c>
      <c r="I238" s="45">
        <f t="shared" si="52"/>
        <v>24244451.299999997</v>
      </c>
      <c r="J238" s="333">
        <f t="shared" si="53"/>
        <v>8.7623156962665796</v>
      </c>
      <c r="K238" s="398">
        <v>6640560</v>
      </c>
      <c r="L238" s="49"/>
      <c r="M238" s="476"/>
      <c r="N238" s="476"/>
      <c r="O238" s="476"/>
      <c r="P238" s="476"/>
      <c r="Q238" s="476"/>
      <c r="R238" s="476"/>
      <c r="S238" s="476"/>
      <c r="T238" s="476"/>
      <c r="U238" s="476"/>
      <c r="V238" s="476"/>
      <c r="W238" s="476"/>
    </row>
    <row r="239" spans="1:23" ht="11.25" customHeight="1" x14ac:dyDescent="0.2">
      <c r="A239" s="410" t="str">
        <f>'Org structure'!E67</f>
        <v xml:space="preserve">6.10 - </v>
      </c>
      <c r="B239" s="448"/>
      <c r="C239" s="397">
        <v>0</v>
      </c>
      <c r="D239" s="386">
        <v>0</v>
      </c>
      <c r="E239" s="387">
        <v>0</v>
      </c>
      <c r="F239" s="475">
        <v>832526.28999999992</v>
      </c>
      <c r="G239" s="387">
        <v>4290088.4800000004</v>
      </c>
      <c r="H239" s="751">
        <f t="shared" si="61"/>
        <v>0</v>
      </c>
      <c r="I239" s="45">
        <f t="shared" si="52"/>
        <v>4290088.4800000004</v>
      </c>
      <c r="J239" s="333" t="e">
        <f t="shared" si="53"/>
        <v>#DIV/0!</v>
      </c>
      <c r="K239" s="398">
        <v>0</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62">SUM(C241:C250)</f>
        <v>260962451.56000003</v>
      </c>
      <c r="D240" s="447">
        <f t="shared" si="62"/>
        <v>206024904</v>
      </c>
      <c r="E240" s="444">
        <f>SUM(E241:E250)</f>
        <v>206025204</v>
      </c>
      <c r="F240" s="446">
        <f t="shared" si="62"/>
        <v>15801931.09</v>
      </c>
      <c r="G240" s="444">
        <f t="shared" si="62"/>
        <v>82135568.480000019</v>
      </c>
      <c r="H240" s="444">
        <f t="shared" si="62"/>
        <v>85843835</v>
      </c>
      <c r="I240" s="45">
        <f t="shared" si="52"/>
        <v>-3708266.5199999809</v>
      </c>
      <c r="J240" s="333">
        <f t="shared" si="53"/>
        <v>-4.3197819855088963E-2</v>
      </c>
      <c r="K240" s="445">
        <f t="shared" si="62"/>
        <v>206025204</v>
      </c>
      <c r="L240" s="49"/>
      <c r="M240" s="476"/>
      <c r="N240" s="476"/>
      <c r="O240" s="476"/>
      <c r="P240" s="476"/>
      <c r="Q240" s="476"/>
      <c r="R240" s="476"/>
      <c r="S240" s="476"/>
      <c r="T240" s="476"/>
      <c r="U240" s="476"/>
      <c r="V240" s="476"/>
      <c r="W240" s="476"/>
    </row>
    <row r="241" spans="1:23" ht="11.25" customHeight="1" x14ac:dyDescent="0.2">
      <c r="A241" s="410" t="str">
        <f>'Org structure'!E69</f>
        <v>7.1 - Corporate and Shared Services</v>
      </c>
      <c r="B241" s="448"/>
      <c r="C241" s="397">
        <v>70109750.189999983</v>
      </c>
      <c r="D241" s="386">
        <v>6786024</v>
      </c>
      <c r="E241" s="387">
        <v>6786024</v>
      </c>
      <c r="F241" s="475">
        <v>175973.86</v>
      </c>
      <c r="G241" s="387">
        <v>1168299.3099999998</v>
      </c>
      <c r="H241" s="751">
        <f t="shared" ref="H241:H250" si="63">E241/12*5</f>
        <v>2827510</v>
      </c>
      <c r="I241" s="45">
        <f t="shared" si="52"/>
        <v>-1659210.6900000002</v>
      </c>
      <c r="J241" s="333">
        <f t="shared" si="53"/>
        <v>-0.58680983975299827</v>
      </c>
      <c r="K241" s="398">
        <v>6786024</v>
      </c>
      <c r="L241" s="49"/>
      <c r="M241" s="476"/>
      <c r="N241" s="476"/>
      <c r="O241" s="476"/>
      <c r="P241" s="476"/>
      <c r="Q241" s="476"/>
      <c r="R241" s="476"/>
      <c r="S241" s="476"/>
      <c r="T241" s="476"/>
      <c r="U241" s="476"/>
      <c r="V241" s="476"/>
      <c r="W241" s="476"/>
    </row>
    <row r="242" spans="1:23" ht="11.25" customHeight="1" x14ac:dyDescent="0.2">
      <c r="A242" s="410" t="str">
        <f>'Org structure'!E70</f>
        <v>7.2 - Information Services</v>
      </c>
      <c r="B242" s="448"/>
      <c r="C242" s="397">
        <v>34011209.130000003</v>
      </c>
      <c r="D242" s="386">
        <v>70403640</v>
      </c>
      <c r="E242" s="387">
        <v>70553640</v>
      </c>
      <c r="F242" s="475">
        <v>7755574.3899999978</v>
      </c>
      <c r="G242" s="387">
        <v>21436336.73</v>
      </c>
      <c r="H242" s="751">
        <f t="shared" si="63"/>
        <v>29397350</v>
      </c>
      <c r="I242" s="45">
        <f t="shared" si="52"/>
        <v>-7961013.2699999996</v>
      </c>
      <c r="J242" s="333">
        <f t="shared" si="53"/>
        <v>-0.27080717377586755</v>
      </c>
      <c r="K242" s="398">
        <v>70553640</v>
      </c>
      <c r="L242" s="49"/>
      <c r="M242" s="476"/>
      <c r="N242" s="476"/>
      <c r="O242" s="476"/>
      <c r="P242" s="476"/>
      <c r="Q242" s="476"/>
      <c r="R242" s="476"/>
      <c r="S242" s="476"/>
      <c r="T242" s="476"/>
      <c r="U242" s="476"/>
      <c r="V242" s="476"/>
      <c r="W242" s="476"/>
    </row>
    <row r="243" spans="1:23" ht="11.25" customHeight="1" x14ac:dyDescent="0.2">
      <c r="A243" s="410" t="str">
        <f>'Org structure'!E71</f>
        <v>7.3 - Occupational Health and Safety</v>
      </c>
      <c r="B243" s="448"/>
      <c r="C243" s="397">
        <v>0</v>
      </c>
      <c r="D243" s="386">
        <v>5423292</v>
      </c>
      <c r="E243" s="387">
        <v>5423292</v>
      </c>
      <c r="F243" s="475">
        <v>0</v>
      </c>
      <c r="G243" s="387">
        <v>27494.899999999998</v>
      </c>
      <c r="H243" s="751">
        <f t="shared" si="63"/>
        <v>2259705</v>
      </c>
      <c r="I243" s="45">
        <f t="shared" si="52"/>
        <v>-2232210.1</v>
      </c>
      <c r="J243" s="333">
        <f t="shared" si="53"/>
        <v>-0.98783252681212819</v>
      </c>
      <c r="K243" s="398">
        <v>5423292</v>
      </c>
      <c r="L243" s="49"/>
      <c r="M243" s="476"/>
      <c r="N243" s="476"/>
      <c r="O243" s="476"/>
      <c r="P243" s="476"/>
      <c r="Q243" s="476"/>
      <c r="R243" s="476"/>
      <c r="S243" s="476"/>
      <c r="T243" s="476"/>
      <c r="U243" s="476"/>
      <c r="V243" s="476"/>
      <c r="W243" s="476"/>
    </row>
    <row r="244" spans="1:23" ht="11.25" customHeight="1" x14ac:dyDescent="0.2">
      <c r="A244" s="410" t="str">
        <f>'Org structure'!E72</f>
        <v>7.4 - Fleet Management</v>
      </c>
      <c r="B244" s="448"/>
      <c r="C244" s="397">
        <v>98472897.020000011</v>
      </c>
      <c r="D244" s="386">
        <v>76876836</v>
      </c>
      <c r="E244" s="387">
        <v>76876836</v>
      </c>
      <c r="F244" s="475">
        <v>0</v>
      </c>
      <c r="G244" s="387">
        <v>0</v>
      </c>
      <c r="H244" s="751">
        <f t="shared" si="63"/>
        <v>32032015</v>
      </c>
      <c r="I244" s="45">
        <f t="shared" si="52"/>
        <v>-32032015</v>
      </c>
      <c r="J244" s="333">
        <f t="shared" si="53"/>
        <v>-1</v>
      </c>
      <c r="K244" s="398">
        <v>76876836</v>
      </c>
      <c r="L244" s="49"/>
      <c r="M244" s="476"/>
      <c r="N244" s="476"/>
      <c r="O244" s="476"/>
      <c r="P244" s="476"/>
      <c r="Q244" s="476"/>
      <c r="R244" s="476"/>
      <c r="S244" s="476"/>
      <c r="T244" s="476"/>
      <c r="U244" s="476"/>
      <c r="V244" s="476"/>
      <c r="W244" s="476"/>
    </row>
    <row r="245" spans="1:23" ht="11.25" customHeight="1" x14ac:dyDescent="0.2">
      <c r="A245" s="410" t="str">
        <f>'Org structure'!E73</f>
        <v>7.5 - Human Resources Management</v>
      </c>
      <c r="B245" s="448"/>
      <c r="C245" s="397">
        <v>0</v>
      </c>
      <c r="D245" s="386">
        <v>12263688</v>
      </c>
      <c r="E245" s="387">
        <v>12263788</v>
      </c>
      <c r="F245" s="475">
        <v>2589184.4699999997</v>
      </c>
      <c r="G245" s="387">
        <v>13456978.33</v>
      </c>
      <c r="H245" s="751">
        <f t="shared" si="63"/>
        <v>5109911.666666667</v>
      </c>
      <c r="I245" s="45">
        <f t="shared" si="52"/>
        <v>8347066.6633333331</v>
      </c>
      <c r="J245" s="333">
        <f t="shared" si="53"/>
        <v>1.633505079507245</v>
      </c>
      <c r="K245" s="398">
        <v>12263788</v>
      </c>
      <c r="L245" s="49"/>
      <c r="M245" s="476"/>
      <c r="N245" s="476"/>
      <c r="O245" s="476"/>
      <c r="P245" s="476"/>
      <c r="Q245" s="476"/>
      <c r="R245" s="476"/>
      <c r="S245" s="476"/>
      <c r="T245" s="476"/>
      <c r="U245" s="476"/>
      <c r="V245" s="476"/>
      <c r="W245" s="476"/>
    </row>
    <row r="246" spans="1:23" ht="11.25" customHeight="1" x14ac:dyDescent="0.2">
      <c r="A246" s="410" t="str">
        <f>'Org structure'!E74</f>
        <v>7.6 - Human Resources Admin</v>
      </c>
      <c r="B246" s="448"/>
      <c r="C246" s="397">
        <v>58368595.220000029</v>
      </c>
      <c r="D246" s="386">
        <v>11536500</v>
      </c>
      <c r="E246" s="387">
        <v>11536500</v>
      </c>
      <c r="F246" s="475">
        <v>2380.5</v>
      </c>
      <c r="G246" s="387">
        <v>79311.45</v>
      </c>
      <c r="H246" s="751">
        <f t="shared" si="63"/>
        <v>4806875</v>
      </c>
      <c r="I246" s="45">
        <f t="shared" si="52"/>
        <v>-4727563.55</v>
      </c>
      <c r="J246" s="333">
        <f t="shared" si="53"/>
        <v>-0.98350041347028994</v>
      </c>
      <c r="K246" s="398">
        <v>11536500</v>
      </c>
      <c r="L246" s="49"/>
      <c r="M246" s="476"/>
      <c r="N246" s="476"/>
      <c r="O246" s="476"/>
      <c r="P246" s="476"/>
      <c r="Q246" s="476"/>
      <c r="R246" s="476"/>
      <c r="S246" s="476"/>
      <c r="T246" s="476"/>
      <c r="U246" s="476"/>
      <c r="V246" s="476"/>
      <c r="W246" s="476"/>
    </row>
    <row r="247" spans="1:23" ht="11.25" customHeight="1" x14ac:dyDescent="0.2">
      <c r="A247" s="410" t="str">
        <f>'Org structure'!E75</f>
        <v>7.7 - Human Resources Development</v>
      </c>
      <c r="B247" s="448"/>
      <c r="C247" s="397">
        <v>0</v>
      </c>
      <c r="D247" s="386">
        <v>22734924</v>
      </c>
      <c r="E247" s="387">
        <v>22734924</v>
      </c>
      <c r="F247" s="475">
        <v>0</v>
      </c>
      <c r="G247" s="387">
        <v>0</v>
      </c>
      <c r="H247" s="751">
        <f t="shared" si="63"/>
        <v>9472885</v>
      </c>
      <c r="I247" s="45">
        <f t="shared" si="52"/>
        <v>-9472885</v>
      </c>
      <c r="J247" s="333">
        <f t="shared" si="53"/>
        <v>-1</v>
      </c>
      <c r="K247" s="398">
        <v>22734924</v>
      </c>
      <c r="L247" s="49"/>
      <c r="M247" s="476"/>
      <c r="N247" s="476"/>
      <c r="O247" s="476"/>
      <c r="P247" s="476"/>
      <c r="Q247" s="476"/>
      <c r="R247" s="476"/>
      <c r="S247" s="476"/>
      <c r="T247" s="476"/>
      <c r="U247" s="476"/>
      <c r="V247" s="476"/>
      <c r="W247" s="476"/>
    </row>
    <row r="248" spans="1:23" ht="11.25" customHeight="1" x14ac:dyDescent="0.2">
      <c r="A248" s="410" t="str">
        <f>'Org structure'!E76</f>
        <v xml:space="preserve">7.8 - </v>
      </c>
      <c r="B248" s="448"/>
      <c r="C248" s="397">
        <v>0</v>
      </c>
      <c r="D248" s="386">
        <v>0</v>
      </c>
      <c r="E248" s="387">
        <v>0</v>
      </c>
      <c r="F248" s="475">
        <v>0</v>
      </c>
      <c r="G248" s="387">
        <v>0</v>
      </c>
      <c r="H248" s="751">
        <f t="shared" si="63"/>
        <v>0</v>
      </c>
      <c r="I248" s="45">
        <f t="shared" si="52"/>
        <v>0</v>
      </c>
      <c r="J248" s="333" t="str">
        <f t="shared" si="53"/>
        <v/>
      </c>
      <c r="K248" s="398">
        <v>0</v>
      </c>
      <c r="L248" s="49"/>
      <c r="M248" s="476"/>
      <c r="N248" s="476"/>
      <c r="O248" s="476"/>
      <c r="P248" s="476"/>
      <c r="Q248" s="476"/>
      <c r="R248" s="476"/>
      <c r="S248" s="476"/>
      <c r="T248" s="476"/>
      <c r="U248" s="476"/>
      <c r="V248" s="476"/>
      <c r="W248" s="476"/>
    </row>
    <row r="249" spans="1:23" ht="11.25" customHeight="1" x14ac:dyDescent="0.2">
      <c r="A249" s="410" t="str">
        <f>'Org structure'!E77</f>
        <v xml:space="preserve">7.9 - </v>
      </c>
      <c r="B249" s="448"/>
      <c r="C249" s="397">
        <v>0</v>
      </c>
      <c r="D249" s="386">
        <v>0</v>
      </c>
      <c r="E249" s="387">
        <v>0</v>
      </c>
      <c r="F249" s="475">
        <v>55762.569999999992</v>
      </c>
      <c r="G249" s="387">
        <v>1208704.83</v>
      </c>
      <c r="H249" s="751">
        <f t="shared" si="63"/>
        <v>0</v>
      </c>
      <c r="I249" s="45">
        <f t="shared" si="52"/>
        <v>1208704.83</v>
      </c>
      <c r="J249" s="333" t="e">
        <f t="shared" si="53"/>
        <v>#DIV/0!</v>
      </c>
      <c r="K249" s="398">
        <v>0</v>
      </c>
      <c r="L249" s="49"/>
      <c r="M249" s="476"/>
      <c r="N249" s="476"/>
      <c r="O249" s="476"/>
      <c r="P249" s="476"/>
      <c r="Q249" s="476"/>
      <c r="R249" s="476"/>
      <c r="S249" s="476"/>
      <c r="T249" s="476"/>
      <c r="U249" s="476"/>
      <c r="V249" s="476"/>
      <c r="W249" s="476"/>
    </row>
    <row r="250" spans="1:23" ht="11.25" customHeight="1" x14ac:dyDescent="0.2">
      <c r="A250" s="410" t="str">
        <f>'Org structure'!E78</f>
        <v xml:space="preserve">7.10 - </v>
      </c>
      <c r="B250" s="448"/>
      <c r="C250" s="397">
        <v>0</v>
      </c>
      <c r="D250" s="386">
        <v>0</v>
      </c>
      <c r="E250" s="387">
        <v>-149800</v>
      </c>
      <c r="F250" s="475">
        <v>5223055.3</v>
      </c>
      <c r="G250" s="387">
        <v>44758442.930000015</v>
      </c>
      <c r="H250" s="751">
        <f t="shared" si="63"/>
        <v>-62416.666666666672</v>
      </c>
      <c r="I250" s="45">
        <f t="shared" si="52"/>
        <v>44820859.596666679</v>
      </c>
      <c r="J250" s="333">
        <f t="shared" si="53"/>
        <v>-718.09120849132194</v>
      </c>
      <c r="K250" s="398">
        <v>-149800</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64">SUM(C252:C261)</f>
        <v>110740016.91999999</v>
      </c>
      <c r="D251" s="447">
        <f t="shared" si="64"/>
        <v>119534280</v>
      </c>
      <c r="E251" s="444">
        <f t="shared" si="64"/>
        <v>117595276</v>
      </c>
      <c r="F251" s="446">
        <f t="shared" si="64"/>
        <v>4571049.7500000009</v>
      </c>
      <c r="G251" s="444">
        <f t="shared" si="64"/>
        <v>22914222.189999994</v>
      </c>
      <c r="H251" s="444">
        <f t="shared" si="64"/>
        <v>48998031.666666657</v>
      </c>
      <c r="I251" s="45">
        <f t="shared" si="52"/>
        <v>-26083809.476666663</v>
      </c>
      <c r="J251" s="333">
        <f t="shared" si="53"/>
        <v>-0.53234402667671787</v>
      </c>
      <c r="K251" s="445">
        <f t="shared" si="64"/>
        <v>117595276</v>
      </c>
      <c r="L251" s="49"/>
      <c r="M251" s="476"/>
      <c r="N251" s="476"/>
      <c r="O251" s="476"/>
      <c r="P251" s="476"/>
      <c r="Q251" s="476"/>
      <c r="R251" s="476"/>
      <c r="S251" s="476"/>
      <c r="T251" s="476"/>
      <c r="U251" s="476"/>
      <c r="V251" s="476"/>
      <c r="W251" s="476"/>
    </row>
    <row r="252" spans="1:23" ht="11.25" customHeight="1" x14ac:dyDescent="0.2">
      <c r="A252" s="410" t="str">
        <f>'Org structure'!E80</f>
        <v>8.1 - Directorate Planning and Development</v>
      </c>
      <c r="B252" s="448"/>
      <c r="C252" s="397">
        <v>0</v>
      </c>
      <c r="D252" s="386">
        <v>5123820</v>
      </c>
      <c r="E252" s="387">
        <v>7699820</v>
      </c>
      <c r="F252" s="475">
        <v>1648319.76</v>
      </c>
      <c r="G252" s="387">
        <v>8130903.0399999991</v>
      </c>
      <c r="H252" s="751">
        <f t="shared" ref="H252:H261" si="65">E252/12*5</f>
        <v>3208258.333333333</v>
      </c>
      <c r="I252" s="45">
        <f t="shared" si="52"/>
        <v>4922644.7066666661</v>
      </c>
      <c r="J252" s="333">
        <f t="shared" si="53"/>
        <v>1.5343666859744773</v>
      </c>
      <c r="K252" s="398">
        <v>7699820</v>
      </c>
      <c r="L252" s="49"/>
      <c r="M252" s="476"/>
      <c r="N252" s="476"/>
      <c r="O252" s="476"/>
      <c r="P252" s="476"/>
      <c r="Q252" s="476"/>
      <c r="R252" s="476"/>
      <c r="S252" s="476"/>
      <c r="T252" s="476"/>
      <c r="U252" s="476"/>
      <c r="V252" s="476"/>
      <c r="W252" s="476"/>
    </row>
    <row r="253" spans="1:23" ht="11.25" customHeight="1" x14ac:dyDescent="0.2">
      <c r="A253" s="410" t="str">
        <f>'Org structure'!E81</f>
        <v>8.2 - Property Services</v>
      </c>
      <c r="B253" s="448"/>
      <c r="C253" s="397">
        <v>57277156.590000004</v>
      </c>
      <c r="D253" s="386">
        <v>64793724</v>
      </c>
      <c r="E253" s="387">
        <v>64793724</v>
      </c>
      <c r="F253" s="475">
        <v>36705.35</v>
      </c>
      <c r="G253" s="387">
        <v>38041.42</v>
      </c>
      <c r="H253" s="751">
        <f t="shared" si="65"/>
        <v>26997385</v>
      </c>
      <c r="I253" s="45">
        <f t="shared" si="52"/>
        <v>-26959343.579999998</v>
      </c>
      <c r="J253" s="333">
        <f t="shared" si="53"/>
        <v>-0.9985909220467093</v>
      </c>
      <c r="K253" s="398">
        <v>64793724</v>
      </c>
      <c r="L253" s="49"/>
      <c r="M253" s="476"/>
      <c r="N253" s="476"/>
      <c r="O253" s="476"/>
      <c r="P253" s="476"/>
      <c r="Q253" s="476"/>
      <c r="R253" s="476"/>
      <c r="S253" s="476"/>
      <c r="T253" s="476"/>
      <c r="U253" s="476"/>
      <c r="V253" s="476"/>
      <c r="W253" s="476"/>
    </row>
    <row r="254" spans="1:23" ht="11.25" customHeight="1" x14ac:dyDescent="0.2">
      <c r="A254" s="410" t="str">
        <f>'Org structure'!E82</f>
        <v>8.3 - City and Regional Planning</v>
      </c>
      <c r="B254" s="448"/>
      <c r="C254" s="397">
        <v>4519685.91</v>
      </c>
      <c r="D254" s="386">
        <v>17757516</v>
      </c>
      <c r="E254" s="387">
        <v>17757516</v>
      </c>
      <c r="F254" s="475">
        <v>18175.5</v>
      </c>
      <c r="G254" s="387">
        <v>128262.62</v>
      </c>
      <c r="H254" s="751">
        <f t="shared" si="65"/>
        <v>7398965</v>
      </c>
      <c r="I254" s="45">
        <f t="shared" si="52"/>
        <v>-7270702.3799999999</v>
      </c>
      <c r="J254" s="333">
        <f t="shared" si="53"/>
        <v>-0.98266478892655929</v>
      </c>
      <c r="K254" s="398">
        <v>17757516</v>
      </c>
      <c r="L254" s="49"/>
      <c r="M254" s="476"/>
      <c r="N254" s="476"/>
      <c r="O254" s="476"/>
      <c r="P254" s="476"/>
      <c r="Q254" s="476"/>
      <c r="R254" s="476"/>
      <c r="S254" s="476"/>
      <c r="T254" s="476"/>
      <c r="U254" s="476"/>
      <c r="V254" s="476"/>
      <c r="W254" s="476"/>
    </row>
    <row r="255" spans="1:23" ht="11.25" customHeight="1" x14ac:dyDescent="0.2">
      <c r="A255" s="410" t="str">
        <f>'Org structure'!E83</f>
        <v>8.4 - Corporate Geo Information</v>
      </c>
      <c r="B255" s="448"/>
      <c r="C255" s="397">
        <v>0</v>
      </c>
      <c r="D255" s="386">
        <v>4423908</v>
      </c>
      <c r="E255" s="387">
        <v>4423908</v>
      </c>
      <c r="F255" s="475">
        <v>23912.1</v>
      </c>
      <c r="G255" s="387">
        <v>23912.1</v>
      </c>
      <c r="H255" s="751">
        <f t="shared" si="65"/>
        <v>1843295</v>
      </c>
      <c r="I255" s="45">
        <f t="shared" si="52"/>
        <v>-1819382.9</v>
      </c>
      <c r="J255" s="333">
        <f t="shared" si="53"/>
        <v>-0.98702752408051875</v>
      </c>
      <c r="K255" s="398">
        <v>4423908</v>
      </c>
      <c r="L255" s="49"/>
      <c r="M255" s="476"/>
      <c r="N255" s="476"/>
      <c r="O255" s="476"/>
      <c r="P255" s="476"/>
      <c r="Q255" s="476"/>
      <c r="R255" s="476"/>
      <c r="S255" s="476"/>
      <c r="T255" s="476"/>
      <c r="U255" s="476"/>
      <c r="V255" s="476"/>
      <c r="W255" s="476"/>
    </row>
    <row r="256" spans="1:23" ht="11.25" customHeight="1" x14ac:dyDescent="0.2">
      <c r="A256" s="410" t="str">
        <f>'Org structure'!E84</f>
        <v>8.5 - Building Inspectorate</v>
      </c>
      <c r="B256" s="448"/>
      <c r="C256" s="397">
        <v>0</v>
      </c>
      <c r="D256" s="386">
        <v>10296600</v>
      </c>
      <c r="E256" s="387">
        <v>10296600</v>
      </c>
      <c r="F256" s="475">
        <v>2010652.8000000003</v>
      </c>
      <c r="G256" s="387">
        <v>10813789.049999999</v>
      </c>
      <c r="H256" s="751">
        <f t="shared" si="65"/>
        <v>4290250</v>
      </c>
      <c r="I256" s="45">
        <f t="shared" si="52"/>
        <v>6523539.0499999989</v>
      </c>
      <c r="J256" s="333">
        <f t="shared" si="53"/>
        <v>1.5205498630615928</v>
      </c>
      <c r="K256" s="398">
        <v>10296600</v>
      </c>
      <c r="L256" s="49"/>
      <c r="M256" s="476"/>
      <c r="N256" s="476"/>
      <c r="O256" s="476"/>
      <c r="P256" s="476"/>
      <c r="Q256" s="476"/>
      <c r="R256" s="476"/>
      <c r="S256" s="476"/>
      <c r="T256" s="476"/>
      <c r="U256" s="476"/>
      <c r="V256" s="476"/>
      <c r="W256" s="476"/>
    </row>
    <row r="257" spans="1:23" ht="11.25" customHeight="1" x14ac:dyDescent="0.2">
      <c r="A257" s="410" t="str">
        <f>'Org structure'!E85</f>
        <v>8.6 - Economic Development and Tourism</v>
      </c>
      <c r="B257" s="448"/>
      <c r="C257" s="397">
        <v>19863994.389999993</v>
      </c>
      <c r="D257" s="386">
        <v>1823688</v>
      </c>
      <c r="E257" s="387">
        <v>1823688</v>
      </c>
      <c r="F257" s="475">
        <v>0</v>
      </c>
      <c r="G257" s="387">
        <v>0</v>
      </c>
      <c r="H257" s="751">
        <f t="shared" si="65"/>
        <v>759870</v>
      </c>
      <c r="I257" s="45">
        <f t="shared" si="52"/>
        <v>-759870</v>
      </c>
      <c r="J257" s="333">
        <f t="shared" si="53"/>
        <v>-1</v>
      </c>
      <c r="K257" s="398">
        <v>1823688</v>
      </c>
      <c r="L257" s="49"/>
      <c r="M257" s="476"/>
      <c r="N257" s="476"/>
      <c r="O257" s="476"/>
      <c r="P257" s="476"/>
      <c r="Q257" s="476"/>
      <c r="R257" s="476"/>
      <c r="S257" s="476"/>
      <c r="T257" s="476"/>
      <c r="U257" s="476"/>
      <c r="V257" s="476"/>
      <c r="W257" s="476"/>
    </row>
    <row r="258" spans="1:23" ht="11.25" customHeight="1" x14ac:dyDescent="0.2">
      <c r="A258" s="410" t="str">
        <f>'Org structure'!E86</f>
        <v>8.7 - Local Economic Development</v>
      </c>
      <c r="B258" s="448"/>
      <c r="C258" s="397">
        <v>0</v>
      </c>
      <c r="D258" s="386">
        <v>7051716</v>
      </c>
      <c r="E258" s="387">
        <v>7040920</v>
      </c>
      <c r="F258" s="475">
        <v>0</v>
      </c>
      <c r="G258" s="387">
        <v>39084.33</v>
      </c>
      <c r="H258" s="751">
        <f t="shared" si="65"/>
        <v>2933716.666666667</v>
      </c>
      <c r="I258" s="45">
        <f t="shared" si="52"/>
        <v>-2894632.3366666669</v>
      </c>
      <c r="J258" s="333">
        <f t="shared" si="53"/>
        <v>-0.98667753759451893</v>
      </c>
      <c r="K258" s="398">
        <v>7040920</v>
      </c>
      <c r="L258" s="49"/>
      <c r="M258" s="476"/>
      <c r="N258" s="476"/>
      <c r="O258" s="476"/>
      <c r="P258" s="476"/>
      <c r="Q258" s="476"/>
      <c r="R258" s="476"/>
      <c r="S258" s="476"/>
      <c r="T258" s="476"/>
      <c r="U258" s="476"/>
      <c r="V258" s="476"/>
      <c r="W258" s="476"/>
    </row>
    <row r="259" spans="1:23" ht="11.25" customHeight="1" x14ac:dyDescent="0.2">
      <c r="A259" s="410" t="str">
        <f>'Org structure'!E87</f>
        <v>8.8 - Investment Promotion</v>
      </c>
      <c r="B259" s="448"/>
      <c r="C259" s="397">
        <v>0</v>
      </c>
      <c r="D259" s="386">
        <v>5581500</v>
      </c>
      <c r="E259" s="387">
        <v>5692296</v>
      </c>
      <c r="F259" s="475">
        <v>347392.56</v>
      </c>
      <c r="G259" s="387">
        <v>1247853.2699999998</v>
      </c>
      <c r="H259" s="751">
        <f t="shared" si="65"/>
        <v>2371790</v>
      </c>
      <c r="I259" s="45">
        <f t="shared" si="52"/>
        <v>-1123936.7300000002</v>
      </c>
      <c r="J259" s="333">
        <f t="shared" si="53"/>
        <v>-0.47387700007167594</v>
      </c>
      <c r="K259" s="398">
        <v>5692296</v>
      </c>
      <c r="L259" s="49"/>
      <c r="M259" s="476"/>
      <c r="N259" s="476"/>
      <c r="O259" s="476"/>
      <c r="P259" s="476"/>
      <c r="Q259" s="476"/>
      <c r="R259" s="476"/>
      <c r="S259" s="476"/>
      <c r="T259" s="476"/>
      <c r="U259" s="476"/>
      <c r="V259" s="476"/>
      <c r="W259" s="476"/>
    </row>
    <row r="260" spans="1:23" ht="11.25" customHeight="1" x14ac:dyDescent="0.2">
      <c r="A260" s="410" t="str">
        <f>'Org structure'!E88</f>
        <v>8.9 - LED (Economic Planning)</v>
      </c>
      <c r="B260" s="448"/>
      <c r="C260" s="397">
        <v>0</v>
      </c>
      <c r="D260" s="386">
        <v>2681808</v>
      </c>
      <c r="E260" s="387">
        <v>-1933196</v>
      </c>
      <c r="F260" s="475">
        <v>485891.68</v>
      </c>
      <c r="G260" s="387">
        <v>2492376.3599999994</v>
      </c>
      <c r="H260" s="751">
        <f t="shared" si="65"/>
        <v>-805498.33333333326</v>
      </c>
      <c r="I260" s="45">
        <f t="shared" si="52"/>
        <v>3297874.6933333324</v>
      </c>
      <c r="J260" s="333">
        <f t="shared" si="53"/>
        <v>-4.0942042420944373</v>
      </c>
      <c r="K260" s="398">
        <v>-1933196</v>
      </c>
      <c r="L260" s="49"/>
      <c r="M260" s="476"/>
      <c r="N260" s="476"/>
      <c r="O260" s="476"/>
      <c r="P260" s="476"/>
      <c r="Q260" s="476"/>
      <c r="R260" s="476"/>
      <c r="S260" s="476"/>
      <c r="T260" s="476"/>
      <c r="U260" s="476"/>
      <c r="V260" s="476"/>
      <c r="W260" s="476"/>
    </row>
    <row r="261" spans="1:23" ht="11.25" customHeight="1" x14ac:dyDescent="0.2">
      <c r="A261" s="410" t="str">
        <f>'Org structure'!E89</f>
        <v>8.10 - Other Planning and Economic Development</v>
      </c>
      <c r="B261" s="448"/>
      <c r="C261" s="397">
        <v>29079180.030000005</v>
      </c>
      <c r="D261" s="386">
        <v>0</v>
      </c>
      <c r="E261" s="387">
        <v>0</v>
      </c>
      <c r="F261" s="475">
        <v>0</v>
      </c>
      <c r="G261" s="387">
        <v>0</v>
      </c>
      <c r="H261" s="751">
        <f t="shared" si="65"/>
        <v>0</v>
      </c>
      <c r="I261" s="45">
        <f t="shared" si="52"/>
        <v>0</v>
      </c>
      <c r="J261" s="333" t="str">
        <f t="shared" si="53"/>
        <v/>
      </c>
      <c r="K261" s="398">
        <v>0</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66">SUM(C263:C272)</f>
        <v>1394226880.7300007</v>
      </c>
      <c r="D262" s="447">
        <f t="shared" si="66"/>
        <v>444516900</v>
      </c>
      <c r="E262" s="444">
        <f t="shared" si="66"/>
        <v>444014396</v>
      </c>
      <c r="F262" s="446">
        <f t="shared" si="66"/>
        <v>65450079.240000047</v>
      </c>
      <c r="G262" s="444">
        <f t="shared" si="66"/>
        <v>351058699.18000013</v>
      </c>
      <c r="H262" s="444">
        <f t="shared" si="66"/>
        <v>185005998.33333293</v>
      </c>
      <c r="I262" s="45">
        <f t="shared" ref="I262:I325" si="67">G262-H262</f>
        <v>166052700.8466672</v>
      </c>
      <c r="J262" s="333">
        <f t="shared" ref="J262:J325" si="68">IF(I262=0,"",I262/H262)</f>
        <v>0.89755306499567222</v>
      </c>
      <c r="K262" s="445">
        <f t="shared" si="66"/>
        <v>444014396</v>
      </c>
      <c r="L262" s="49"/>
      <c r="M262" s="476"/>
      <c r="N262" s="476"/>
      <c r="O262" s="476"/>
      <c r="P262" s="476"/>
      <c r="Q262" s="476"/>
      <c r="R262" s="476"/>
      <c r="S262" s="476"/>
      <c r="T262" s="476"/>
      <c r="U262" s="476"/>
      <c r="V262" s="476"/>
      <c r="W262" s="476"/>
    </row>
    <row r="263" spans="1:23" ht="11.25" customHeight="1" x14ac:dyDescent="0.2">
      <c r="A263" s="410" t="str">
        <f>'Org structure'!E91</f>
        <v>9.1 - Budget and Treasury Office (Administration)</v>
      </c>
      <c r="B263" s="448"/>
      <c r="C263" s="397">
        <v>11144.74</v>
      </c>
      <c r="D263" s="386">
        <v>48091848</v>
      </c>
      <c r="E263" s="387">
        <v>47588348</v>
      </c>
      <c r="F263" s="475">
        <v>578622.26</v>
      </c>
      <c r="G263" s="387">
        <v>26162313.460000001</v>
      </c>
      <c r="H263" s="751">
        <f t="shared" ref="H263:H272" si="69">E263/12*5</f>
        <v>19828478.333333332</v>
      </c>
      <c r="I263" s="45">
        <f t="shared" si="67"/>
        <v>6333835.1266666688</v>
      </c>
      <c r="J263" s="333">
        <f t="shared" si="68"/>
        <v>0.3194312251393977</v>
      </c>
      <c r="K263" s="398">
        <v>47588348</v>
      </c>
      <c r="L263" s="49"/>
      <c r="M263" s="476"/>
      <c r="N263" s="476"/>
      <c r="O263" s="476"/>
      <c r="P263" s="476"/>
      <c r="Q263" s="476"/>
      <c r="R263" s="476"/>
      <c r="S263" s="476"/>
      <c r="T263" s="476"/>
      <c r="U263" s="476"/>
      <c r="V263" s="476"/>
      <c r="W263" s="476"/>
    </row>
    <row r="264" spans="1:23" ht="11.25" customHeight="1" x14ac:dyDescent="0.2">
      <c r="A264" s="410" t="str">
        <f>'Org structure'!E92</f>
        <v>9.2 - Expenditure</v>
      </c>
      <c r="B264" s="448"/>
      <c r="C264" s="397">
        <v>0</v>
      </c>
      <c r="D264" s="386">
        <v>0</v>
      </c>
      <c r="E264" s="387">
        <v>200</v>
      </c>
      <c r="F264" s="475">
        <v>4577154.8099999996</v>
      </c>
      <c r="G264" s="387">
        <v>47723410.920000002</v>
      </c>
      <c r="H264" s="751">
        <f t="shared" si="69"/>
        <v>83.333333333333343</v>
      </c>
      <c r="I264" s="45">
        <f t="shared" si="67"/>
        <v>47723327.586666666</v>
      </c>
      <c r="J264" s="333">
        <f t="shared" si="68"/>
        <v>572679.93103999994</v>
      </c>
      <c r="K264" s="398">
        <v>200</v>
      </c>
      <c r="L264" s="49"/>
      <c r="M264" s="476"/>
      <c r="N264" s="476"/>
      <c r="O264" s="476"/>
      <c r="P264" s="476"/>
      <c r="Q264" s="476"/>
      <c r="R264" s="476"/>
      <c r="S264" s="476"/>
      <c r="T264" s="476"/>
      <c r="U264" s="476"/>
      <c r="V264" s="476"/>
      <c r="W264" s="476"/>
    </row>
    <row r="265" spans="1:23" ht="11.25" customHeight="1" x14ac:dyDescent="0.2">
      <c r="A265" s="410" t="str">
        <f>'Org structure'!E93</f>
        <v>9.3 - Revenue Management and Customer Care</v>
      </c>
      <c r="B265" s="448"/>
      <c r="C265" s="397">
        <v>960905122.08000088</v>
      </c>
      <c r="D265" s="386">
        <v>118064292</v>
      </c>
      <c r="E265" s="387">
        <v>118065088</v>
      </c>
      <c r="F265" s="475">
        <v>47733128.710000038</v>
      </c>
      <c r="G265" s="387">
        <v>221227532.1500001</v>
      </c>
      <c r="H265" s="751">
        <v>49193786.666666269</v>
      </c>
      <c r="I265" s="45">
        <f t="shared" si="67"/>
        <v>172033745.48333383</v>
      </c>
      <c r="J265" s="333">
        <f t="shared" si="68"/>
        <v>3.4970624776056112</v>
      </c>
      <c r="K265" s="398">
        <v>118065088</v>
      </c>
      <c r="L265" s="49"/>
      <c r="M265" s="476"/>
      <c r="N265" s="476"/>
      <c r="O265" s="476"/>
      <c r="P265" s="476"/>
      <c r="Q265" s="476"/>
      <c r="R265" s="476"/>
      <c r="S265" s="476"/>
      <c r="T265" s="476"/>
      <c r="U265" s="476"/>
      <c r="V265" s="476"/>
      <c r="W265" s="476"/>
    </row>
    <row r="266" spans="1:23" ht="11.25" customHeight="1" x14ac:dyDescent="0.2">
      <c r="A266" s="410" t="str">
        <f>'Org structure'!E94</f>
        <v>9.4 - Supply Chain Management</v>
      </c>
      <c r="B266" s="448"/>
      <c r="C266" s="397">
        <v>16289620.110000001</v>
      </c>
      <c r="D266" s="386">
        <v>21257004</v>
      </c>
      <c r="E266" s="387">
        <v>21257004</v>
      </c>
      <c r="F266" s="475">
        <v>1851162.34</v>
      </c>
      <c r="G266" s="387">
        <v>4453421.6399999997</v>
      </c>
      <c r="H266" s="751">
        <f t="shared" si="69"/>
        <v>8857085</v>
      </c>
      <c r="I266" s="45">
        <f t="shared" si="67"/>
        <v>-4403663.3600000003</v>
      </c>
      <c r="J266" s="333">
        <f t="shared" si="68"/>
        <v>-0.49719104648990048</v>
      </c>
      <c r="K266" s="398">
        <v>21257004</v>
      </c>
      <c r="L266" s="49"/>
      <c r="M266" s="476"/>
      <c r="N266" s="476"/>
      <c r="O266" s="476"/>
      <c r="P266" s="476"/>
      <c r="Q266" s="476"/>
      <c r="R266" s="476"/>
      <c r="S266" s="476"/>
      <c r="T266" s="476"/>
      <c r="U266" s="476"/>
      <c r="V266" s="476"/>
      <c r="W266" s="476"/>
    </row>
    <row r="267" spans="1:23" ht="11.25" customHeight="1" x14ac:dyDescent="0.2">
      <c r="A267" s="410" t="str">
        <f>'Org structure'!E95</f>
        <v>9.5 - Asset Management</v>
      </c>
      <c r="B267" s="448"/>
      <c r="C267" s="397">
        <v>26463048.919999998</v>
      </c>
      <c r="D267" s="386">
        <v>55913916</v>
      </c>
      <c r="E267" s="387">
        <v>55913916</v>
      </c>
      <c r="F267" s="475">
        <v>936130.1399999999</v>
      </c>
      <c r="G267" s="387">
        <v>21868529.470000003</v>
      </c>
      <c r="H267" s="751">
        <f t="shared" si="69"/>
        <v>23297465</v>
      </c>
      <c r="I267" s="45">
        <f t="shared" si="67"/>
        <v>-1428935.5299999975</v>
      </c>
      <c r="J267" s="333">
        <f t="shared" si="68"/>
        <v>-6.1334378225270325E-2</v>
      </c>
      <c r="K267" s="398">
        <v>55913916</v>
      </c>
      <c r="L267" s="49"/>
      <c r="M267" s="476"/>
      <c r="N267" s="476"/>
      <c r="O267" s="476"/>
      <c r="P267" s="476"/>
      <c r="Q267" s="476"/>
      <c r="R267" s="476"/>
      <c r="S267" s="476"/>
      <c r="T267" s="476"/>
      <c r="U267" s="476"/>
      <c r="V267" s="476"/>
      <c r="W267" s="476"/>
    </row>
    <row r="268" spans="1:23" ht="11.25" customHeight="1" x14ac:dyDescent="0.2">
      <c r="A268" s="410" t="str">
        <f>'Org structure'!E96</f>
        <v>9.6 - Budget and Financial Reporting</v>
      </c>
      <c r="B268" s="448"/>
      <c r="C268" s="397">
        <v>390557944.87999994</v>
      </c>
      <c r="D268" s="386">
        <v>199971420</v>
      </c>
      <c r="E268" s="387">
        <v>199971420</v>
      </c>
      <c r="F268" s="475">
        <v>9773880.9800000023</v>
      </c>
      <c r="G268" s="387">
        <v>29623491.540000003</v>
      </c>
      <c r="H268" s="751">
        <f t="shared" si="69"/>
        <v>83321425</v>
      </c>
      <c r="I268" s="45">
        <f t="shared" si="67"/>
        <v>-53697933.459999993</v>
      </c>
      <c r="J268" s="333">
        <f t="shared" si="68"/>
        <v>-0.64446729589658358</v>
      </c>
      <c r="K268" s="398">
        <v>199971420</v>
      </c>
      <c r="L268" s="49"/>
      <c r="M268" s="476"/>
      <c r="N268" s="476"/>
      <c r="O268" s="476"/>
      <c r="P268" s="476"/>
      <c r="Q268" s="476"/>
      <c r="R268" s="476"/>
      <c r="S268" s="476"/>
      <c r="T268" s="476"/>
      <c r="U268" s="476"/>
      <c r="V268" s="476"/>
      <c r="W268" s="476"/>
    </row>
    <row r="269" spans="1:23" ht="11.25" customHeight="1" x14ac:dyDescent="0.2">
      <c r="A269" s="410" t="str">
        <f>'Org structure'!E97</f>
        <v>9.7 - Business and Financial Planning</v>
      </c>
      <c r="B269" s="448"/>
      <c r="C269" s="397">
        <v>0</v>
      </c>
      <c r="D269" s="386">
        <v>1218420</v>
      </c>
      <c r="E269" s="387">
        <v>1218420</v>
      </c>
      <c r="F269" s="475">
        <v>0</v>
      </c>
      <c r="G269" s="387">
        <v>0</v>
      </c>
      <c r="H269" s="751">
        <f t="shared" si="69"/>
        <v>507675</v>
      </c>
      <c r="I269" s="45">
        <f t="shared" si="67"/>
        <v>-507675</v>
      </c>
      <c r="J269" s="333">
        <f t="shared" si="68"/>
        <v>-1</v>
      </c>
      <c r="K269" s="398">
        <v>1218420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v>0</v>
      </c>
      <c r="D270" s="386">
        <v>0</v>
      </c>
      <c r="E270" s="387">
        <v>0</v>
      </c>
      <c r="F270" s="475">
        <v>0</v>
      </c>
      <c r="G270" s="387">
        <v>0</v>
      </c>
      <c r="H270" s="751">
        <f t="shared" si="69"/>
        <v>0</v>
      </c>
      <c r="I270" s="45">
        <f t="shared" si="67"/>
        <v>0</v>
      </c>
      <c r="J270" s="333" t="str">
        <f t="shared" si="68"/>
        <v/>
      </c>
      <c r="K270" s="398">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v>0</v>
      </c>
      <c r="D271" s="386">
        <v>0</v>
      </c>
      <c r="E271" s="387">
        <v>0</v>
      </c>
      <c r="F271" s="475">
        <v>0</v>
      </c>
      <c r="G271" s="387">
        <v>0</v>
      </c>
      <c r="H271" s="751">
        <f t="shared" si="69"/>
        <v>0</v>
      </c>
      <c r="I271" s="45">
        <f t="shared" si="67"/>
        <v>0</v>
      </c>
      <c r="J271" s="333" t="str">
        <f t="shared" si="68"/>
        <v/>
      </c>
      <c r="K271" s="398">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v>0</v>
      </c>
      <c r="D272" s="386">
        <v>0</v>
      </c>
      <c r="E272" s="387">
        <v>0</v>
      </c>
      <c r="F272" s="475">
        <v>0</v>
      </c>
      <c r="G272" s="387">
        <v>0</v>
      </c>
      <c r="H272" s="751">
        <f t="shared" si="69"/>
        <v>0</v>
      </c>
      <c r="I272" s="45">
        <f t="shared" si="67"/>
        <v>0</v>
      </c>
      <c r="J272" s="333" t="str">
        <f t="shared" si="68"/>
        <v/>
      </c>
      <c r="K272" s="398">
        <v>0</v>
      </c>
      <c r="L272" s="49"/>
      <c r="M272" s="476"/>
      <c r="N272" s="476"/>
      <c r="O272" s="476"/>
      <c r="P272" s="476"/>
      <c r="Q272" s="476"/>
      <c r="R272" s="476"/>
      <c r="S272" s="476"/>
      <c r="T272" s="476"/>
      <c r="U272" s="476"/>
      <c r="V272" s="476"/>
      <c r="W272" s="476"/>
    </row>
    <row r="273" spans="1:23" ht="11.25" customHeight="1" x14ac:dyDescent="0.2">
      <c r="A273" s="469" t="str">
        <f>'Org structure'!A11</f>
        <v>Vote 10 - Transport Services</v>
      </c>
      <c r="B273" s="448"/>
      <c r="C273" s="506">
        <f t="shared" ref="C273:K273" si="70">SUM(C274:C283)</f>
        <v>154792020.97999996</v>
      </c>
      <c r="D273" s="447">
        <f t="shared" si="70"/>
        <v>228888216</v>
      </c>
      <c r="E273" s="444">
        <f t="shared" si="70"/>
        <v>228888316</v>
      </c>
      <c r="F273" s="446">
        <f t="shared" si="70"/>
        <v>10358472.77</v>
      </c>
      <c r="G273" s="444">
        <f t="shared" si="70"/>
        <v>40090054.530000009</v>
      </c>
      <c r="H273" s="444">
        <f t="shared" si="70"/>
        <v>95370131.666666657</v>
      </c>
      <c r="I273" s="45">
        <f t="shared" si="67"/>
        <v>-55280077.136666648</v>
      </c>
      <c r="J273" s="333">
        <f t="shared" si="68"/>
        <v>-0.57963721104925237</v>
      </c>
      <c r="K273" s="445">
        <f t="shared" si="70"/>
        <v>228888216</v>
      </c>
      <c r="L273" s="49"/>
      <c r="M273" s="476"/>
      <c r="N273" s="476"/>
      <c r="O273" s="476"/>
      <c r="P273" s="476"/>
      <c r="Q273" s="476"/>
      <c r="R273" s="476"/>
      <c r="S273" s="476"/>
      <c r="T273" s="476"/>
      <c r="U273" s="476"/>
      <c r="V273" s="476"/>
      <c r="W273" s="476"/>
    </row>
    <row r="274" spans="1:23" ht="11.25" customHeight="1" x14ac:dyDescent="0.2">
      <c r="A274" s="410" t="str">
        <f>'Org structure'!E102</f>
        <v>10.1 - Roads and streets</v>
      </c>
      <c r="B274" s="448"/>
      <c r="C274" s="397">
        <v>75069834.37999998</v>
      </c>
      <c r="D274" s="386">
        <v>52860096</v>
      </c>
      <c r="E274" s="387">
        <v>52860096</v>
      </c>
      <c r="F274" s="475">
        <v>3546937.3800000004</v>
      </c>
      <c r="G274" s="387">
        <v>13715077.57</v>
      </c>
      <c r="H274" s="751">
        <f t="shared" ref="H274:H283" si="71">E274/12*5</f>
        <v>22025040</v>
      </c>
      <c r="I274" s="45">
        <f t="shared" si="67"/>
        <v>-8309962.4299999997</v>
      </c>
      <c r="J274" s="333">
        <f t="shared" si="68"/>
        <v>-0.3772961334008928</v>
      </c>
      <c r="K274" s="398">
        <f>D274</f>
        <v>52860096</v>
      </c>
      <c r="L274" s="49"/>
      <c r="M274" s="476"/>
      <c r="N274" s="476"/>
      <c r="O274" s="476"/>
      <c r="P274" s="476"/>
      <c r="Q274" s="476"/>
      <c r="R274" s="476"/>
      <c r="S274" s="476"/>
      <c r="T274" s="476"/>
      <c r="U274" s="476"/>
      <c r="V274" s="476"/>
      <c r="W274" s="476"/>
    </row>
    <row r="275" spans="1:23" ht="11.25" customHeight="1" x14ac:dyDescent="0.2">
      <c r="A275" s="410" t="str">
        <f>'Org structure'!E103</f>
        <v>10.2 - Transport Services</v>
      </c>
      <c r="B275" s="448"/>
      <c r="C275" s="397">
        <v>59236205.359999999</v>
      </c>
      <c r="D275" s="386">
        <v>27957336</v>
      </c>
      <c r="E275" s="387">
        <v>27957336</v>
      </c>
      <c r="F275" s="475">
        <v>0</v>
      </c>
      <c r="G275" s="387">
        <v>0</v>
      </c>
      <c r="H275" s="751">
        <f t="shared" si="71"/>
        <v>11648890</v>
      </c>
      <c r="I275" s="45">
        <f t="shared" si="67"/>
        <v>-11648890</v>
      </c>
      <c r="J275" s="333">
        <f t="shared" si="68"/>
        <v>-1</v>
      </c>
      <c r="K275" s="398">
        <f t="shared" ref="K275:K283" si="72">D275</f>
        <v>27957336</v>
      </c>
      <c r="L275" s="49"/>
      <c r="M275" s="476"/>
      <c r="N275" s="476"/>
      <c r="O275" s="476"/>
      <c r="P275" s="476"/>
      <c r="Q275" s="476"/>
      <c r="R275" s="476"/>
      <c r="S275" s="476"/>
      <c r="T275" s="476"/>
      <c r="U275" s="476"/>
      <c r="V275" s="476"/>
      <c r="W275" s="476"/>
    </row>
    <row r="276" spans="1:23" ht="11.25" customHeight="1" x14ac:dyDescent="0.2">
      <c r="A276" s="410" t="str">
        <f>'Org structure'!E104</f>
        <v>10.3 - Transport Services (Planning and Operations)</v>
      </c>
      <c r="B276" s="448"/>
      <c r="C276" s="397">
        <v>0</v>
      </c>
      <c r="D276" s="386">
        <v>1585212</v>
      </c>
      <c r="E276" s="387">
        <v>1585212</v>
      </c>
      <c r="F276" s="475">
        <v>0</v>
      </c>
      <c r="G276" s="387">
        <v>0</v>
      </c>
      <c r="H276" s="751">
        <f t="shared" si="71"/>
        <v>660505</v>
      </c>
      <c r="I276" s="45">
        <f t="shared" si="67"/>
        <v>-660505</v>
      </c>
      <c r="J276" s="333">
        <f t="shared" si="68"/>
        <v>-1</v>
      </c>
      <c r="K276" s="398">
        <f t="shared" si="72"/>
        <v>1585212</v>
      </c>
      <c r="L276" s="49"/>
      <c r="M276" s="476"/>
      <c r="N276" s="476"/>
      <c r="O276" s="476"/>
      <c r="P276" s="476"/>
      <c r="Q276" s="476"/>
      <c r="R276" s="476"/>
      <c r="S276" s="476"/>
      <c r="T276" s="476"/>
      <c r="U276" s="476"/>
      <c r="V276" s="476"/>
      <c r="W276" s="476"/>
    </row>
    <row r="277" spans="1:23" ht="11.25" customHeight="1" x14ac:dyDescent="0.2">
      <c r="A277" s="410" t="str">
        <f>'Org structure'!E105</f>
        <v>10.4 - Transport Services (Intelligent Transport and Operations)</v>
      </c>
      <c r="B277" s="448"/>
      <c r="C277" s="397">
        <v>0</v>
      </c>
      <c r="D277" s="386">
        <v>857772</v>
      </c>
      <c r="E277" s="387">
        <v>857772</v>
      </c>
      <c r="F277" s="475">
        <v>473</v>
      </c>
      <c r="G277" s="387">
        <v>16811.12</v>
      </c>
      <c r="H277" s="751">
        <f t="shared" si="71"/>
        <v>357405</v>
      </c>
      <c r="I277" s="45">
        <f t="shared" si="67"/>
        <v>-340593.88</v>
      </c>
      <c r="J277" s="333">
        <f t="shared" si="68"/>
        <v>-0.9529633888725676</v>
      </c>
      <c r="K277" s="398">
        <f t="shared" si="72"/>
        <v>857772</v>
      </c>
      <c r="L277" s="49"/>
      <c r="M277" s="476"/>
      <c r="N277" s="476"/>
      <c r="O277" s="476"/>
      <c r="P277" s="476"/>
      <c r="Q277" s="476"/>
      <c r="R277" s="476"/>
      <c r="S277" s="476"/>
      <c r="T277" s="476"/>
      <c r="U277" s="476"/>
      <c r="V277" s="476"/>
      <c r="W277" s="476"/>
    </row>
    <row r="278" spans="1:23" ht="11.25" customHeight="1" x14ac:dyDescent="0.2">
      <c r="A278" s="410" t="str">
        <f>'Org structure'!E106</f>
        <v>10.5 - Transport Services (Public Transport Regulation and Moitoring)</v>
      </c>
      <c r="B278" s="448"/>
      <c r="C278" s="397">
        <v>0</v>
      </c>
      <c r="D278" s="386">
        <v>2507100</v>
      </c>
      <c r="E278" s="387">
        <v>2507100</v>
      </c>
      <c r="F278" s="475">
        <v>1936429.7</v>
      </c>
      <c r="G278" s="387">
        <v>10871051.940000001</v>
      </c>
      <c r="H278" s="751">
        <f t="shared" si="71"/>
        <v>1044625</v>
      </c>
      <c r="I278" s="45">
        <f t="shared" si="67"/>
        <v>9826426.9400000013</v>
      </c>
      <c r="J278" s="333">
        <f t="shared" si="68"/>
        <v>9.4066549623070497</v>
      </c>
      <c r="K278" s="398">
        <f t="shared" si="72"/>
        <v>2507100</v>
      </c>
      <c r="L278" s="49"/>
      <c r="M278" s="476"/>
      <c r="N278" s="476"/>
      <c r="O278" s="476"/>
      <c r="P278" s="476"/>
      <c r="Q278" s="476"/>
      <c r="R278" s="476"/>
      <c r="S278" s="476"/>
      <c r="T278" s="476"/>
      <c r="U278" s="476"/>
      <c r="V278" s="476"/>
      <c r="W278" s="476"/>
    </row>
    <row r="279" spans="1:23" ht="11.25" customHeight="1" x14ac:dyDescent="0.2">
      <c r="A279" s="410" t="str">
        <f>'Org structure'!E107</f>
        <v>10.6 - Roads and Stormwater (administration)</v>
      </c>
      <c r="B279" s="448"/>
      <c r="C279" s="397">
        <v>0</v>
      </c>
      <c r="D279" s="386">
        <v>2843796</v>
      </c>
      <c r="E279" s="387">
        <v>2843796</v>
      </c>
      <c r="F279" s="475">
        <v>0</v>
      </c>
      <c r="G279" s="387">
        <v>0</v>
      </c>
      <c r="H279" s="751">
        <f t="shared" si="71"/>
        <v>1184915</v>
      </c>
      <c r="I279" s="45">
        <f t="shared" si="67"/>
        <v>-1184915</v>
      </c>
      <c r="J279" s="333">
        <f t="shared" si="68"/>
        <v>-1</v>
      </c>
      <c r="K279" s="398">
        <f t="shared" si="72"/>
        <v>2843796</v>
      </c>
      <c r="L279" s="49"/>
      <c r="M279" s="476"/>
      <c r="N279" s="476"/>
      <c r="O279" s="476"/>
      <c r="P279" s="476"/>
      <c r="Q279" s="476"/>
      <c r="R279" s="476"/>
      <c r="S279" s="476"/>
      <c r="T279" s="476"/>
      <c r="U279" s="476"/>
      <c r="V279" s="476"/>
      <c r="W279" s="476"/>
    </row>
    <row r="280" spans="1:23" ht="11.25" customHeight="1" x14ac:dyDescent="0.2">
      <c r="A280" s="410" t="str">
        <f>'Org structure'!E108</f>
        <v>10.7 - Storm Water Management and Traffic engineering</v>
      </c>
      <c r="B280" s="448"/>
      <c r="C280" s="397">
        <v>469242</v>
      </c>
      <c r="D280" s="386">
        <v>199812</v>
      </c>
      <c r="E280" s="387">
        <v>199912</v>
      </c>
      <c r="F280" s="475">
        <v>4345566.8299999991</v>
      </c>
      <c r="G280" s="387">
        <v>12607374.950000001</v>
      </c>
      <c r="H280" s="751">
        <f t="shared" si="71"/>
        <v>83296.666666666657</v>
      </c>
      <c r="I280" s="45">
        <f t="shared" si="67"/>
        <v>12524078.283333335</v>
      </c>
      <c r="J280" s="333">
        <f t="shared" si="68"/>
        <v>150.35509564208255</v>
      </c>
      <c r="K280" s="398">
        <f t="shared" si="72"/>
        <v>199812</v>
      </c>
      <c r="L280" s="49"/>
      <c r="M280" s="476"/>
      <c r="N280" s="476"/>
      <c r="O280" s="476"/>
      <c r="P280" s="476"/>
      <c r="Q280" s="476"/>
      <c r="R280" s="476"/>
      <c r="S280" s="476"/>
      <c r="T280" s="476"/>
      <c r="U280" s="476"/>
      <c r="V280" s="476"/>
      <c r="W280" s="476"/>
    </row>
    <row r="281" spans="1:23" ht="11.25" customHeight="1" x14ac:dyDescent="0.2">
      <c r="A281" s="410" t="str">
        <f>'Org structure'!E109</f>
        <v>10.8 - Roads and Stormwater (Roads and Streets)</v>
      </c>
      <c r="B281" s="448"/>
      <c r="C281" s="397">
        <v>20016739.239999995</v>
      </c>
      <c r="D281" s="386">
        <v>0</v>
      </c>
      <c r="E281" s="387">
        <v>0</v>
      </c>
      <c r="F281" s="475">
        <v>529065.86</v>
      </c>
      <c r="G281" s="387">
        <v>2879738.9499999997</v>
      </c>
      <c r="H281" s="751">
        <f t="shared" si="71"/>
        <v>0</v>
      </c>
      <c r="I281" s="45">
        <f t="shared" si="67"/>
        <v>2879738.9499999997</v>
      </c>
      <c r="J281" s="333" t="e">
        <f t="shared" si="68"/>
        <v>#DIV/0!</v>
      </c>
      <c r="K281" s="398">
        <f t="shared" si="72"/>
        <v>0</v>
      </c>
      <c r="L281" s="49"/>
      <c r="M281" s="476"/>
      <c r="N281" s="476"/>
      <c r="O281" s="476"/>
      <c r="P281" s="476"/>
      <c r="Q281" s="476"/>
      <c r="R281" s="476"/>
      <c r="S281" s="476"/>
      <c r="T281" s="476"/>
      <c r="U281" s="476"/>
      <c r="V281" s="476"/>
      <c r="W281" s="476"/>
    </row>
    <row r="282" spans="1:23" ht="11.25" customHeight="1" x14ac:dyDescent="0.2">
      <c r="A282" s="410" t="str">
        <f>'Org structure'!E110</f>
        <v>10.9 - Roads and Stormwater (Stormwater)</v>
      </c>
      <c r="B282" s="448"/>
      <c r="C282" s="397">
        <v>0</v>
      </c>
      <c r="D282" s="386">
        <v>140077092</v>
      </c>
      <c r="E282" s="387">
        <v>140077092</v>
      </c>
      <c r="F282" s="475">
        <v>0</v>
      </c>
      <c r="G282" s="387">
        <v>0</v>
      </c>
      <c r="H282" s="751">
        <f t="shared" si="71"/>
        <v>58365455</v>
      </c>
      <c r="I282" s="45">
        <f t="shared" si="67"/>
        <v>-58365455</v>
      </c>
      <c r="J282" s="333">
        <f t="shared" si="68"/>
        <v>-1</v>
      </c>
      <c r="K282" s="398">
        <f t="shared" si="72"/>
        <v>140077092</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v>0</v>
      </c>
      <c r="D283" s="386">
        <v>0</v>
      </c>
      <c r="E283" s="387">
        <v>0</v>
      </c>
      <c r="F283" s="475">
        <v>0</v>
      </c>
      <c r="G283" s="387">
        <v>0</v>
      </c>
      <c r="H283" s="751">
        <f t="shared" si="71"/>
        <v>0</v>
      </c>
      <c r="I283" s="45">
        <f t="shared" si="67"/>
        <v>0</v>
      </c>
      <c r="J283" s="333" t="str">
        <f t="shared" si="68"/>
        <v/>
      </c>
      <c r="K283" s="398">
        <f t="shared" si="72"/>
        <v>0</v>
      </c>
      <c r="L283" s="49"/>
      <c r="M283" s="476"/>
      <c r="N283" s="476"/>
      <c r="O283" s="476"/>
      <c r="P283" s="476"/>
      <c r="Q283" s="476"/>
      <c r="R283" s="476"/>
      <c r="S283" s="476"/>
      <c r="T283" s="476"/>
      <c r="U283" s="476"/>
      <c r="V283" s="476"/>
      <c r="W283" s="476"/>
    </row>
    <row r="284" spans="1:23" ht="11.25" customHeight="1" x14ac:dyDescent="0.2">
      <c r="A284" s="469" t="str">
        <f>'Org structure'!A12</f>
        <v>Vote 11 - Human Settlement</v>
      </c>
      <c r="B284" s="448"/>
      <c r="C284" s="506">
        <f t="shared" ref="C284:K284" si="73">SUM(C285:C294)</f>
        <v>589033.43000000005</v>
      </c>
      <c r="D284" s="447">
        <f t="shared" si="73"/>
        <v>12573336</v>
      </c>
      <c r="E284" s="444">
        <f t="shared" si="73"/>
        <v>12573736</v>
      </c>
      <c r="F284" s="446">
        <f t="shared" si="73"/>
        <v>851638.61999999988</v>
      </c>
      <c r="G284" s="444">
        <f t="shared" si="73"/>
        <v>4391120.8699999992</v>
      </c>
      <c r="H284" s="444">
        <f t="shared" si="73"/>
        <v>5239056.666666666</v>
      </c>
      <c r="I284" s="45">
        <f t="shared" si="67"/>
        <v>-847935.79666666687</v>
      </c>
      <c r="J284" s="333">
        <f t="shared" si="68"/>
        <v>-0.16184894545264833</v>
      </c>
      <c r="K284" s="445">
        <f t="shared" si="73"/>
        <v>12573736</v>
      </c>
      <c r="L284" s="49"/>
      <c r="M284" s="476"/>
      <c r="N284" s="476"/>
      <c r="O284" s="476"/>
      <c r="P284" s="476"/>
      <c r="Q284" s="476"/>
      <c r="R284" s="476"/>
      <c r="S284" s="476"/>
      <c r="T284" s="476"/>
      <c r="U284" s="476"/>
      <c r="V284" s="476"/>
      <c r="W284" s="476"/>
    </row>
    <row r="285" spans="1:23" ht="11.25" customHeight="1" x14ac:dyDescent="0.2">
      <c r="A285" s="410" t="str">
        <f>'Org structure'!E113</f>
        <v>11.1 - Human Settlement</v>
      </c>
      <c r="B285" s="448"/>
      <c r="C285" s="397">
        <v>0</v>
      </c>
      <c r="D285" s="386">
        <v>3640572</v>
      </c>
      <c r="E285" s="387">
        <v>3640572</v>
      </c>
      <c r="F285" s="475">
        <v>0</v>
      </c>
      <c r="G285" s="387">
        <v>20349.809999999998</v>
      </c>
      <c r="H285" s="751">
        <f t="shared" ref="H285:H294" si="74">E285/12*5</f>
        <v>1516905</v>
      </c>
      <c r="I285" s="45">
        <f t="shared" si="67"/>
        <v>-1496555.19</v>
      </c>
      <c r="J285" s="333">
        <f t="shared" si="68"/>
        <v>-0.98658465098341686</v>
      </c>
      <c r="K285" s="398">
        <v>3640572</v>
      </c>
      <c r="L285" s="49"/>
      <c r="M285" s="476"/>
      <c r="N285" s="476"/>
      <c r="O285" s="476"/>
      <c r="P285" s="476"/>
      <c r="Q285" s="476"/>
      <c r="R285" s="476"/>
      <c r="S285" s="476"/>
      <c r="T285" s="476"/>
      <c r="U285" s="476"/>
      <c r="V285" s="476"/>
      <c r="W285" s="476"/>
    </row>
    <row r="286" spans="1:23" ht="11.25" customHeight="1" x14ac:dyDescent="0.2">
      <c r="A286" s="410" t="str">
        <f>'Org structure'!E114</f>
        <v>11.2 - Human Settlement - Housing Adimistration</v>
      </c>
      <c r="B286" s="448"/>
      <c r="C286" s="397">
        <v>589033.43000000005</v>
      </c>
      <c r="D286" s="386">
        <v>5189748</v>
      </c>
      <c r="E286" s="387">
        <v>5190148</v>
      </c>
      <c r="F286" s="475">
        <v>132041.18</v>
      </c>
      <c r="G286" s="387">
        <v>448750.03</v>
      </c>
      <c r="H286" s="751">
        <f t="shared" si="74"/>
        <v>2162561.6666666665</v>
      </c>
      <c r="I286" s="45">
        <f t="shared" si="67"/>
        <v>-1713811.6366666665</v>
      </c>
      <c r="J286" s="333">
        <f t="shared" si="68"/>
        <v>-0.79249145265221721</v>
      </c>
      <c r="K286" s="398">
        <v>5190148</v>
      </c>
      <c r="L286" s="49"/>
      <c r="M286" s="476"/>
      <c r="N286" s="476"/>
      <c r="O286" s="476"/>
      <c r="P286" s="476"/>
      <c r="Q286" s="476"/>
      <c r="R286" s="476"/>
      <c r="S286" s="476"/>
      <c r="T286" s="476"/>
      <c r="U286" s="476"/>
      <c r="V286" s="476"/>
      <c r="W286" s="476"/>
    </row>
    <row r="287" spans="1:23" ht="11.25" customHeight="1" x14ac:dyDescent="0.2">
      <c r="A287" s="410" t="str">
        <f>'Org structure'!E115</f>
        <v>11.3 - Human Settlement Rental Hosing and Programme Implemantation</v>
      </c>
      <c r="B287" s="448"/>
      <c r="C287" s="397">
        <v>0</v>
      </c>
      <c r="D287" s="386">
        <v>3743016</v>
      </c>
      <c r="E287" s="387">
        <v>3743016</v>
      </c>
      <c r="F287" s="475">
        <v>719597.44</v>
      </c>
      <c r="G287" s="387">
        <v>3922021.0299999993</v>
      </c>
      <c r="H287" s="751">
        <f t="shared" si="74"/>
        <v>1559590</v>
      </c>
      <c r="I287" s="45">
        <f t="shared" si="67"/>
        <v>2362431.0299999993</v>
      </c>
      <c r="J287" s="333">
        <f t="shared" si="68"/>
        <v>1.5147769798472672</v>
      </c>
      <c r="K287" s="398">
        <v>3743016</v>
      </c>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v>0</v>
      </c>
      <c r="D288" s="386">
        <v>0</v>
      </c>
      <c r="E288" s="387">
        <v>0</v>
      </c>
      <c r="F288" s="475">
        <v>0</v>
      </c>
      <c r="G288" s="387">
        <v>0</v>
      </c>
      <c r="H288" s="751">
        <f t="shared" si="74"/>
        <v>0</v>
      </c>
      <c r="I288" s="45">
        <f t="shared" si="67"/>
        <v>0</v>
      </c>
      <c r="J288" s="333" t="str">
        <f t="shared" si="68"/>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v>0</v>
      </c>
      <c r="D289" s="386">
        <v>0</v>
      </c>
      <c r="E289" s="387">
        <v>0</v>
      </c>
      <c r="F289" s="475">
        <v>0</v>
      </c>
      <c r="G289" s="387">
        <v>0</v>
      </c>
      <c r="H289" s="751">
        <f t="shared" si="74"/>
        <v>0</v>
      </c>
      <c r="I289" s="45">
        <f t="shared" si="67"/>
        <v>0</v>
      </c>
      <c r="J289" s="333" t="str">
        <f t="shared" si="68"/>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v>0</v>
      </c>
      <c r="D290" s="386">
        <v>0</v>
      </c>
      <c r="E290" s="387">
        <v>0</v>
      </c>
      <c r="F290" s="475">
        <v>0</v>
      </c>
      <c r="G290" s="387">
        <v>0</v>
      </c>
      <c r="H290" s="751">
        <f t="shared" si="74"/>
        <v>0</v>
      </c>
      <c r="I290" s="45">
        <f t="shared" si="67"/>
        <v>0</v>
      </c>
      <c r="J290" s="333" t="str">
        <f t="shared" si="68"/>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v>0</v>
      </c>
      <c r="D291" s="386">
        <v>0</v>
      </c>
      <c r="E291" s="387">
        <v>0</v>
      </c>
      <c r="F291" s="475">
        <v>0</v>
      </c>
      <c r="G291" s="387">
        <v>0</v>
      </c>
      <c r="H291" s="751">
        <f t="shared" si="74"/>
        <v>0</v>
      </c>
      <c r="I291" s="45">
        <f t="shared" si="67"/>
        <v>0</v>
      </c>
      <c r="J291" s="333" t="str">
        <f t="shared" si="68"/>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v>0</v>
      </c>
      <c r="D292" s="386">
        <v>0</v>
      </c>
      <c r="E292" s="387">
        <v>0</v>
      </c>
      <c r="F292" s="475">
        <v>0</v>
      </c>
      <c r="G292" s="387">
        <v>0</v>
      </c>
      <c r="H292" s="751">
        <f t="shared" si="74"/>
        <v>0</v>
      </c>
      <c r="I292" s="45">
        <f t="shared" si="67"/>
        <v>0</v>
      </c>
      <c r="J292" s="333" t="str">
        <f t="shared" si="68"/>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v>0</v>
      </c>
      <c r="D293" s="386">
        <v>0</v>
      </c>
      <c r="E293" s="387">
        <v>0</v>
      </c>
      <c r="F293" s="475">
        <v>0</v>
      </c>
      <c r="G293" s="387">
        <v>0</v>
      </c>
      <c r="H293" s="751">
        <f t="shared" si="74"/>
        <v>0</v>
      </c>
      <c r="I293" s="45">
        <f t="shared" si="67"/>
        <v>0</v>
      </c>
      <c r="J293" s="333" t="str">
        <f t="shared" si="68"/>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v>0</v>
      </c>
      <c r="D294" s="386">
        <v>0</v>
      </c>
      <c r="E294" s="387">
        <v>0</v>
      </c>
      <c r="F294" s="475">
        <v>0</v>
      </c>
      <c r="G294" s="387">
        <v>0</v>
      </c>
      <c r="H294" s="751">
        <f t="shared" si="74"/>
        <v>0</v>
      </c>
      <c r="I294" s="45">
        <f t="shared" si="67"/>
        <v>0</v>
      </c>
      <c r="J294" s="333" t="str">
        <f t="shared" si="68"/>
        <v/>
      </c>
      <c r="K294" s="398"/>
      <c r="L294" s="49"/>
      <c r="M294" s="476"/>
      <c r="N294" s="476"/>
      <c r="O294" s="476"/>
      <c r="P294" s="476"/>
      <c r="Q294" s="476"/>
      <c r="R294" s="476"/>
      <c r="S294" s="476"/>
      <c r="T294" s="476"/>
      <c r="U294" s="476"/>
      <c r="V294" s="476"/>
      <c r="W294" s="476"/>
    </row>
    <row r="295" spans="1:23" ht="11.25" customHeight="1" x14ac:dyDescent="0.2">
      <c r="A295" s="469" t="str">
        <f>'Org structure'!A13</f>
        <v xml:space="preserve">Vote 12 - </v>
      </c>
      <c r="B295" s="448"/>
      <c r="C295" s="506">
        <f t="shared" ref="C295:K295" si="75">SUM(C296:C305)</f>
        <v>0</v>
      </c>
      <c r="D295" s="447">
        <f t="shared" si="75"/>
        <v>0</v>
      </c>
      <c r="E295" s="444">
        <f t="shared" si="75"/>
        <v>0</v>
      </c>
      <c r="F295" s="446">
        <f t="shared" si="75"/>
        <v>0</v>
      </c>
      <c r="G295" s="444">
        <f t="shared" si="75"/>
        <v>0</v>
      </c>
      <c r="H295" s="444">
        <f t="shared" si="75"/>
        <v>0</v>
      </c>
      <c r="I295" s="45">
        <f t="shared" si="67"/>
        <v>0</v>
      </c>
      <c r="J295" s="333" t="str">
        <f t="shared" si="68"/>
        <v/>
      </c>
      <c r="K295" s="445">
        <f t="shared" si="75"/>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751">
        <f t="shared" ref="H296:H327" si="76">D296/12*7</f>
        <v>0</v>
      </c>
      <c r="I296" s="45">
        <f t="shared" si="67"/>
        <v>0</v>
      </c>
      <c r="J296" s="333" t="str">
        <f t="shared" si="68"/>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751">
        <f t="shared" si="76"/>
        <v>0</v>
      </c>
      <c r="I297" s="45">
        <f t="shared" si="67"/>
        <v>0</v>
      </c>
      <c r="J297" s="333" t="str">
        <f t="shared" si="68"/>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751">
        <f t="shared" si="76"/>
        <v>0</v>
      </c>
      <c r="I298" s="45">
        <f t="shared" si="67"/>
        <v>0</v>
      </c>
      <c r="J298" s="333" t="str">
        <f t="shared" si="68"/>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751">
        <f t="shared" si="76"/>
        <v>0</v>
      </c>
      <c r="I299" s="45">
        <f t="shared" si="67"/>
        <v>0</v>
      </c>
      <c r="J299" s="333" t="str">
        <f t="shared" si="68"/>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751">
        <f t="shared" si="76"/>
        <v>0</v>
      </c>
      <c r="I300" s="45">
        <f t="shared" si="67"/>
        <v>0</v>
      </c>
      <c r="J300" s="333" t="str">
        <f t="shared" si="68"/>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751">
        <f t="shared" si="76"/>
        <v>0</v>
      </c>
      <c r="I301" s="45">
        <f t="shared" si="67"/>
        <v>0</v>
      </c>
      <c r="J301" s="333" t="str">
        <f t="shared" si="68"/>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751">
        <f t="shared" si="76"/>
        <v>0</v>
      </c>
      <c r="I302" s="45">
        <f t="shared" si="67"/>
        <v>0</v>
      </c>
      <c r="J302" s="333" t="str">
        <f t="shared" si="68"/>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751">
        <f t="shared" si="76"/>
        <v>0</v>
      </c>
      <c r="I303" s="45">
        <f t="shared" si="67"/>
        <v>0</v>
      </c>
      <c r="J303" s="333" t="str">
        <f t="shared" si="68"/>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751">
        <f t="shared" si="76"/>
        <v>0</v>
      </c>
      <c r="I304" s="45">
        <f t="shared" si="67"/>
        <v>0</v>
      </c>
      <c r="J304" s="333" t="str">
        <f t="shared" si="68"/>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751">
        <f t="shared" si="76"/>
        <v>0</v>
      </c>
      <c r="I305" s="45">
        <f t="shared" si="67"/>
        <v>0</v>
      </c>
      <c r="J305" s="333" t="str">
        <f t="shared" si="68"/>
        <v/>
      </c>
      <c r="K305" s="398"/>
      <c r="L305" s="49"/>
      <c r="M305" s="476"/>
      <c r="N305" s="476"/>
      <c r="O305" s="476"/>
      <c r="P305" s="476"/>
      <c r="Q305" s="476"/>
      <c r="R305" s="476"/>
      <c r="S305" s="476"/>
      <c r="T305" s="476"/>
      <c r="U305" s="476"/>
      <c r="V305" s="476"/>
      <c r="W305" s="476"/>
    </row>
    <row r="306" spans="1:23" ht="11.25" customHeight="1" x14ac:dyDescent="0.2">
      <c r="A306" s="469" t="str">
        <f>'Org structure'!A14</f>
        <v xml:space="preserve">Vote 13 - </v>
      </c>
      <c r="B306" s="448"/>
      <c r="C306" s="506">
        <f t="shared" ref="C306:K306" si="77">SUM(C307:C316)</f>
        <v>0</v>
      </c>
      <c r="D306" s="447">
        <f t="shared" si="77"/>
        <v>0</v>
      </c>
      <c r="E306" s="444">
        <f t="shared" si="77"/>
        <v>0</v>
      </c>
      <c r="F306" s="446">
        <f t="shared" si="77"/>
        <v>0</v>
      </c>
      <c r="G306" s="444">
        <f t="shared" si="77"/>
        <v>0</v>
      </c>
      <c r="H306" s="444">
        <f t="shared" si="77"/>
        <v>0</v>
      </c>
      <c r="I306" s="45">
        <f t="shared" si="67"/>
        <v>0</v>
      </c>
      <c r="J306" s="333" t="str">
        <f t="shared" si="68"/>
        <v/>
      </c>
      <c r="K306" s="445">
        <f t="shared" si="77"/>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751">
        <f t="shared" si="76"/>
        <v>0</v>
      </c>
      <c r="I307" s="45">
        <f t="shared" si="67"/>
        <v>0</v>
      </c>
      <c r="J307" s="333" t="str">
        <f t="shared" si="68"/>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751">
        <f t="shared" si="76"/>
        <v>0</v>
      </c>
      <c r="I308" s="45">
        <f t="shared" si="67"/>
        <v>0</v>
      </c>
      <c r="J308" s="333" t="str">
        <f t="shared" si="68"/>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751">
        <f t="shared" si="76"/>
        <v>0</v>
      </c>
      <c r="I309" s="45">
        <f t="shared" si="67"/>
        <v>0</v>
      </c>
      <c r="J309" s="333" t="str">
        <f t="shared" si="68"/>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751">
        <f t="shared" si="76"/>
        <v>0</v>
      </c>
      <c r="I310" s="45">
        <f t="shared" si="67"/>
        <v>0</v>
      </c>
      <c r="J310" s="333" t="str">
        <f t="shared" si="68"/>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751">
        <f t="shared" si="76"/>
        <v>0</v>
      </c>
      <c r="I311" s="45">
        <f t="shared" si="67"/>
        <v>0</v>
      </c>
      <c r="J311" s="333" t="str">
        <f t="shared" si="68"/>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751">
        <f t="shared" si="76"/>
        <v>0</v>
      </c>
      <c r="I312" s="45">
        <f t="shared" si="67"/>
        <v>0</v>
      </c>
      <c r="J312" s="333" t="str">
        <f t="shared" si="68"/>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751">
        <f t="shared" si="76"/>
        <v>0</v>
      </c>
      <c r="I313" s="45">
        <f t="shared" si="67"/>
        <v>0</v>
      </c>
      <c r="J313" s="333" t="str">
        <f t="shared" si="68"/>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751">
        <f t="shared" si="76"/>
        <v>0</v>
      </c>
      <c r="I314" s="45">
        <f t="shared" si="67"/>
        <v>0</v>
      </c>
      <c r="J314" s="333" t="str">
        <f t="shared" si="68"/>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751">
        <f t="shared" si="76"/>
        <v>0</v>
      </c>
      <c r="I315" s="45">
        <f t="shared" si="67"/>
        <v>0</v>
      </c>
      <c r="J315" s="333" t="str">
        <f t="shared" si="68"/>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751">
        <f t="shared" si="76"/>
        <v>0</v>
      </c>
      <c r="I316" s="45">
        <f t="shared" si="67"/>
        <v>0</v>
      </c>
      <c r="J316" s="333" t="str">
        <f t="shared" si="68"/>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78">SUM(C318:C327)</f>
        <v>0</v>
      </c>
      <c r="D317" s="447">
        <f t="shared" si="78"/>
        <v>0</v>
      </c>
      <c r="E317" s="444">
        <f t="shared" si="78"/>
        <v>0</v>
      </c>
      <c r="F317" s="446">
        <f t="shared" si="78"/>
        <v>0</v>
      </c>
      <c r="G317" s="444">
        <f t="shared" si="78"/>
        <v>0</v>
      </c>
      <c r="H317" s="444">
        <f t="shared" si="78"/>
        <v>0</v>
      </c>
      <c r="I317" s="45">
        <f t="shared" si="67"/>
        <v>0</v>
      </c>
      <c r="J317" s="333" t="str">
        <f t="shared" si="68"/>
        <v/>
      </c>
      <c r="K317" s="445">
        <f t="shared" si="78"/>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751">
        <f t="shared" si="76"/>
        <v>0</v>
      </c>
      <c r="I318" s="45">
        <f t="shared" si="67"/>
        <v>0</v>
      </c>
      <c r="J318" s="333" t="str">
        <f t="shared" si="68"/>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751">
        <f t="shared" si="76"/>
        <v>0</v>
      </c>
      <c r="I319" s="45">
        <f t="shared" si="67"/>
        <v>0</v>
      </c>
      <c r="J319" s="333" t="str">
        <f t="shared" si="68"/>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751">
        <f t="shared" si="76"/>
        <v>0</v>
      </c>
      <c r="I320" s="45">
        <f t="shared" si="67"/>
        <v>0</v>
      </c>
      <c r="J320" s="333" t="str">
        <f t="shared" si="68"/>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751">
        <f t="shared" si="76"/>
        <v>0</v>
      </c>
      <c r="I321" s="45">
        <f t="shared" si="67"/>
        <v>0</v>
      </c>
      <c r="J321" s="333" t="str">
        <f t="shared" si="68"/>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751">
        <f t="shared" si="76"/>
        <v>0</v>
      </c>
      <c r="I322" s="45">
        <f t="shared" si="67"/>
        <v>0</v>
      </c>
      <c r="J322" s="333" t="str">
        <f t="shared" si="68"/>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751">
        <f t="shared" si="76"/>
        <v>0</v>
      </c>
      <c r="I323" s="45">
        <f t="shared" si="67"/>
        <v>0</v>
      </c>
      <c r="J323" s="333" t="str">
        <f t="shared" si="68"/>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751">
        <f t="shared" si="76"/>
        <v>0</v>
      </c>
      <c r="I324" s="45">
        <f t="shared" si="67"/>
        <v>0</v>
      </c>
      <c r="J324" s="333" t="str">
        <f t="shared" si="68"/>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c r="D325" s="386"/>
      <c r="E325" s="387">
        <v>0</v>
      </c>
      <c r="F325" s="475"/>
      <c r="G325" s="387"/>
      <c r="H325" s="751">
        <f t="shared" si="76"/>
        <v>0</v>
      </c>
      <c r="I325" s="45">
        <f t="shared" si="67"/>
        <v>0</v>
      </c>
      <c r="J325" s="333" t="str">
        <f t="shared" si="68"/>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751">
        <f t="shared" si="76"/>
        <v>0</v>
      </c>
      <c r="I326" s="45">
        <f t="shared" ref="I326:I341" si="79">G326-H326</f>
        <v>0</v>
      </c>
      <c r="J326" s="333" t="str">
        <f t="shared" ref="J326:J341" si="80">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751">
        <f t="shared" si="76"/>
        <v>0</v>
      </c>
      <c r="I327" s="45">
        <f t="shared" si="79"/>
        <v>0</v>
      </c>
      <c r="J327" s="333" t="str">
        <f t="shared" si="80"/>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81">SUM(C329:C338)</f>
        <v>0</v>
      </c>
      <c r="D328" s="447">
        <f t="shared" si="81"/>
        <v>0</v>
      </c>
      <c r="E328" s="444">
        <f t="shared" si="81"/>
        <v>0</v>
      </c>
      <c r="F328" s="446">
        <f t="shared" si="81"/>
        <v>0</v>
      </c>
      <c r="G328" s="444">
        <f t="shared" si="81"/>
        <v>0</v>
      </c>
      <c r="H328" s="444">
        <f t="shared" si="81"/>
        <v>0</v>
      </c>
      <c r="I328" s="45">
        <f t="shared" si="79"/>
        <v>0</v>
      </c>
      <c r="J328" s="333" t="str">
        <f t="shared" si="80"/>
        <v/>
      </c>
      <c r="K328" s="445">
        <f t="shared" si="81"/>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751">
        <f t="shared" ref="H329:H338" si="82">D329/12*7</f>
        <v>0</v>
      </c>
      <c r="I329" s="45">
        <f t="shared" si="79"/>
        <v>0</v>
      </c>
      <c r="J329" s="333" t="str">
        <f t="shared" si="80"/>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751">
        <f t="shared" si="82"/>
        <v>0</v>
      </c>
      <c r="I330" s="45">
        <f t="shared" si="79"/>
        <v>0</v>
      </c>
      <c r="J330" s="333" t="str">
        <f t="shared" si="80"/>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751">
        <f t="shared" si="82"/>
        <v>0</v>
      </c>
      <c r="I331" s="45">
        <f t="shared" si="79"/>
        <v>0</v>
      </c>
      <c r="J331" s="333" t="str">
        <f t="shared" si="80"/>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751">
        <f t="shared" si="82"/>
        <v>0</v>
      </c>
      <c r="I332" s="45">
        <f t="shared" si="79"/>
        <v>0</v>
      </c>
      <c r="J332" s="333" t="str">
        <f t="shared" si="80"/>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751">
        <f t="shared" si="82"/>
        <v>0</v>
      </c>
      <c r="I333" s="45">
        <f t="shared" si="79"/>
        <v>0</v>
      </c>
      <c r="J333" s="333" t="str">
        <f t="shared" si="80"/>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751">
        <f t="shared" si="82"/>
        <v>0</v>
      </c>
      <c r="I334" s="45">
        <f t="shared" si="79"/>
        <v>0</v>
      </c>
      <c r="J334" s="333" t="str">
        <f t="shared" si="80"/>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751">
        <f t="shared" si="82"/>
        <v>0</v>
      </c>
      <c r="I335" s="45">
        <f t="shared" si="79"/>
        <v>0</v>
      </c>
      <c r="J335" s="333" t="str">
        <f t="shared" si="80"/>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751">
        <f t="shared" si="82"/>
        <v>0</v>
      </c>
      <c r="I336" s="45">
        <f t="shared" si="79"/>
        <v>0</v>
      </c>
      <c r="J336" s="333" t="str">
        <f t="shared" si="80"/>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t="s">
        <v>519</v>
      </c>
      <c r="F337" s="475"/>
      <c r="G337" s="387"/>
      <c r="H337" s="751">
        <f t="shared" si="82"/>
        <v>0</v>
      </c>
      <c r="I337" s="45">
        <f t="shared" si="79"/>
        <v>0</v>
      </c>
      <c r="J337" s="333" t="str">
        <f t="shared" si="80"/>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751">
        <f t="shared" si="82"/>
        <v>0</v>
      </c>
      <c r="I338" s="45">
        <f t="shared" si="79"/>
        <v>0</v>
      </c>
      <c r="J338" s="333" t="str">
        <f t="shared" si="80"/>
        <v/>
      </c>
      <c r="K338" s="398"/>
      <c r="L338" s="455">
        <f t="shared" ref="L338:W338" si="83">SUM(L173:L249)</f>
        <v>0</v>
      </c>
      <c r="M338" s="456">
        <f t="shared" si="83"/>
        <v>0</v>
      </c>
      <c r="N338" s="456">
        <f t="shared" si="83"/>
        <v>0</v>
      </c>
      <c r="O338" s="456">
        <f t="shared" si="83"/>
        <v>0</v>
      </c>
      <c r="P338" s="456">
        <f t="shared" si="83"/>
        <v>0</v>
      </c>
      <c r="Q338" s="456">
        <f t="shared" si="83"/>
        <v>0</v>
      </c>
      <c r="R338" s="456">
        <f t="shared" si="83"/>
        <v>0</v>
      </c>
      <c r="S338" s="456">
        <f t="shared" si="83"/>
        <v>0</v>
      </c>
      <c r="T338" s="456">
        <f t="shared" si="83"/>
        <v>0</v>
      </c>
      <c r="U338" s="456">
        <f t="shared" si="83"/>
        <v>0</v>
      </c>
      <c r="V338" s="456">
        <f t="shared" si="83"/>
        <v>0</v>
      </c>
      <c r="W338" s="456">
        <f t="shared" si="83"/>
        <v>0</v>
      </c>
    </row>
    <row r="339" spans="1:24" ht="12.75" customHeight="1" x14ac:dyDescent="0.2">
      <c r="A339" s="450" t="s">
        <v>654</v>
      </c>
      <c r="B339" s="448">
        <v>2</v>
      </c>
      <c r="C339" s="511">
        <f t="shared" ref="C339:H339" si="84">C174+C185+C196+C207+C218+C229+C240+C251+C262++C273+C284+C295+C306+C317+C328</f>
        <v>3789289061.2799997</v>
      </c>
      <c r="D339" s="478">
        <f t="shared" si="84"/>
        <v>3549930516</v>
      </c>
      <c r="E339" s="478">
        <f t="shared" si="84"/>
        <v>3547704512</v>
      </c>
      <c r="F339" s="478">
        <f t="shared" si="84"/>
        <v>268220460.31000006</v>
      </c>
      <c r="G339" s="478">
        <f t="shared" si="84"/>
        <v>1377598797.46</v>
      </c>
      <c r="H339" s="477">
        <f t="shared" si="84"/>
        <v>1478210213.3333333</v>
      </c>
      <c r="I339" s="433">
        <f t="shared" si="79"/>
        <v>-100611415.87333322</v>
      </c>
      <c r="J339" s="433">
        <f t="shared" si="80"/>
        <v>-6.8062996024399372E-2</v>
      </c>
      <c r="K339" s="516">
        <f>K174+K185+K196+K207+K218+K229+K240+K251+K262++K273+K284+K295+K306+K317+K328</f>
        <v>3547704312</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79"/>
        <v>0</v>
      </c>
      <c r="J340" s="51" t="str">
        <f t="shared" si="80"/>
        <v/>
      </c>
      <c r="K340" s="195"/>
      <c r="L340" s="483">
        <f t="shared" ref="L340:W340" si="85">L170-L338</f>
        <v>0</v>
      </c>
      <c r="M340" s="484">
        <f t="shared" si="85"/>
        <v>0</v>
      </c>
      <c r="N340" s="484">
        <f t="shared" si="85"/>
        <v>0</v>
      </c>
      <c r="O340" s="484">
        <f t="shared" si="85"/>
        <v>0</v>
      </c>
      <c r="P340" s="484">
        <f t="shared" si="85"/>
        <v>0</v>
      </c>
      <c r="Q340" s="484">
        <f t="shared" si="85"/>
        <v>0</v>
      </c>
      <c r="R340" s="484">
        <f t="shared" si="85"/>
        <v>0</v>
      </c>
      <c r="S340" s="484">
        <f t="shared" si="85"/>
        <v>0</v>
      </c>
      <c r="T340" s="484">
        <f t="shared" si="85"/>
        <v>0</v>
      </c>
      <c r="U340" s="484">
        <f t="shared" si="85"/>
        <v>0</v>
      </c>
      <c r="V340" s="484">
        <f t="shared" si="85"/>
        <v>0</v>
      </c>
      <c r="W340" s="484">
        <f t="shared" si="85"/>
        <v>0</v>
      </c>
    </row>
    <row r="341" spans="1:24" s="489" customFormat="1" ht="11.25" customHeight="1" thickTop="1" x14ac:dyDescent="0.2">
      <c r="A341" s="893" t="str">
        <f>result</f>
        <v>Surplus/ (Deficit) for the year</v>
      </c>
      <c r="B341" s="480">
        <v>2</v>
      </c>
      <c r="C341" s="512">
        <f t="shared" ref="C341:H341" si="86">C171-C339</f>
        <v>256354269.74000025</v>
      </c>
      <c r="D341" s="515">
        <f t="shared" si="86"/>
        <v>1512993108</v>
      </c>
      <c r="E341" s="56">
        <f t="shared" si="86"/>
        <v>1515219112</v>
      </c>
      <c r="F341" s="482">
        <f t="shared" si="86"/>
        <v>34719560.730000019</v>
      </c>
      <c r="G341" s="56">
        <f t="shared" si="86"/>
        <v>358548874.69999981</v>
      </c>
      <c r="H341" s="482">
        <f t="shared" si="86"/>
        <v>631341296.66666675</v>
      </c>
      <c r="I341" s="56">
        <f t="shared" si="79"/>
        <v>-272792421.96666694</v>
      </c>
      <c r="J341" s="56">
        <f t="shared" si="80"/>
        <v>-0.43208391943778529</v>
      </c>
      <c r="K341" s="236">
        <f>K171-K339</f>
        <v>1515219312</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125</v>
      </c>
      <c r="B343" s="486"/>
      <c r="C343" s="491"/>
      <c r="D343" s="491"/>
      <c r="E343" s="492"/>
      <c r="F343" s="492"/>
      <c r="G343" s="492"/>
      <c r="H343" s="492"/>
      <c r="I343" s="492"/>
      <c r="J343" s="492"/>
      <c r="K343" s="492"/>
    </row>
    <row r="344" spans="1:24" s="489" customFormat="1" ht="11.25" customHeight="1" x14ac:dyDescent="0.2">
      <c r="A344" s="493" t="s">
        <v>126</v>
      </c>
      <c r="B344" s="486"/>
      <c r="C344" s="491"/>
      <c r="D344" s="491"/>
      <c r="E344" s="492"/>
      <c r="F344" s="492"/>
      <c r="G344" s="492"/>
      <c r="H344" s="492"/>
      <c r="I344" s="492"/>
      <c r="J344" s="492"/>
      <c r="K344" s="492"/>
    </row>
    <row r="345" spans="1:24" ht="11.25" customHeight="1" x14ac:dyDescent="0.2">
      <c r="A345" s="493" t="s">
        <v>127</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128</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129</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9"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H14" sqref="H14"/>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"&amp;S71B&amp; " - "&amp;date</f>
        <v>LIM354 Polokwane - Table C4 Monthly Budget Statement - Financial Performance (revenue and expenditure) - M05 November</v>
      </c>
      <c r="B1" s="1042"/>
      <c r="C1" s="1042"/>
      <c r="D1" s="1042"/>
      <c r="E1" s="1042"/>
      <c r="F1" s="1042"/>
      <c r="G1" s="1042"/>
      <c r="H1" s="1042"/>
      <c r="I1" s="1042"/>
      <c r="J1" s="1042"/>
      <c r="K1" s="1042"/>
    </row>
    <row r="2" spans="1:11" x14ac:dyDescent="0.2">
      <c r="A2" s="1031" t="str">
        <f>desc</f>
        <v>Description</v>
      </c>
      <c r="B2" s="1040" t="str">
        <f>head27</f>
        <v>Ref</v>
      </c>
      <c r="C2" s="159" t="str">
        <f>Head1</f>
        <v>2018/19</v>
      </c>
      <c r="D2" s="1026" t="str">
        <f>Head2</f>
        <v>Budget Year 2019/20</v>
      </c>
      <c r="E2" s="1027"/>
      <c r="F2" s="1027"/>
      <c r="G2" s="1027"/>
      <c r="H2" s="1027"/>
      <c r="I2" s="1027"/>
      <c r="J2" s="1027"/>
      <c r="K2" s="1028"/>
    </row>
    <row r="3" spans="1:11" ht="20.399999999999999" x14ac:dyDescent="0.2">
      <c r="A3" s="1032"/>
      <c r="B3" s="1041"/>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421"/>
      <c r="C4" s="188"/>
      <c r="D4" s="241"/>
      <c r="E4" s="242"/>
      <c r="F4" s="83"/>
      <c r="G4" s="83"/>
      <c r="H4" s="83"/>
      <c r="I4" s="83"/>
      <c r="J4" s="243" t="s">
        <v>594</v>
      </c>
      <c r="K4" s="224"/>
    </row>
    <row r="5" spans="1:11" ht="12.75" customHeight="1" x14ac:dyDescent="0.2">
      <c r="A5" s="183" t="s">
        <v>499</v>
      </c>
      <c r="B5" s="522"/>
      <c r="C5" s="171"/>
      <c r="D5" s="38"/>
      <c r="E5" s="37"/>
      <c r="F5" s="37"/>
      <c r="G5" s="37"/>
      <c r="H5" s="37"/>
      <c r="I5" s="37"/>
      <c r="J5" s="37"/>
      <c r="K5" s="227"/>
    </row>
    <row r="6" spans="1:11" ht="11.25" customHeight="1" x14ac:dyDescent="0.2">
      <c r="A6" s="40" t="s">
        <v>961</v>
      </c>
      <c r="B6" s="422"/>
      <c r="C6" s="758">
        <v>418004801.01999998</v>
      </c>
      <c r="D6" s="755">
        <v>480000000</v>
      </c>
      <c r="E6" s="743">
        <v>480000000</v>
      </c>
      <c r="F6" s="743">
        <v>42997360.259999998</v>
      </c>
      <c r="G6" s="743">
        <v>211993220.47</v>
      </c>
      <c r="H6" s="743">
        <f>E6/12*5</f>
        <v>200000000</v>
      </c>
      <c r="I6" s="45">
        <f t="shared" ref="I6:I22" si="0">G6-H6</f>
        <v>11993220.469999999</v>
      </c>
      <c r="J6" s="333">
        <f t="shared" ref="J6:J22" si="1">IF(I6=0,"",I6/H6)</f>
        <v>5.9966102349999995E-2</v>
      </c>
      <c r="K6" s="745">
        <v>480000000</v>
      </c>
    </row>
    <row r="7" spans="1:11" ht="11.25" customHeight="1" x14ac:dyDescent="0.2">
      <c r="A7" s="40" t="s">
        <v>856</v>
      </c>
      <c r="B7" s="422"/>
      <c r="C7" s="758">
        <v>987163114</v>
      </c>
      <c r="D7" s="755">
        <v>1192830012</v>
      </c>
      <c r="E7" s="743">
        <v>1192830012</v>
      </c>
      <c r="F7" s="743">
        <v>70329800.750000015</v>
      </c>
      <c r="G7" s="743">
        <v>427680978.45999998</v>
      </c>
      <c r="H7" s="743">
        <f t="shared" ref="H7:H21" si="2">E7/12*5</f>
        <v>497012505</v>
      </c>
      <c r="I7" s="45">
        <f t="shared" si="0"/>
        <v>-69331526.540000021</v>
      </c>
      <c r="J7" s="333">
        <f t="shared" si="1"/>
        <v>-0.13949654353264215</v>
      </c>
      <c r="K7" s="745">
        <v>1192830012</v>
      </c>
    </row>
    <row r="8" spans="1:11" ht="11.25" customHeight="1" x14ac:dyDescent="0.2">
      <c r="A8" s="87" t="s">
        <v>857</v>
      </c>
      <c r="B8" s="424"/>
      <c r="C8" s="758">
        <v>208599463</v>
      </c>
      <c r="D8" s="755">
        <v>310840992</v>
      </c>
      <c r="E8" s="743">
        <v>310840992</v>
      </c>
      <c r="F8" s="743">
        <v>25182025.780000001</v>
      </c>
      <c r="G8" s="743">
        <v>121883649.86000001</v>
      </c>
      <c r="H8" s="743">
        <f t="shared" si="2"/>
        <v>129517080</v>
      </c>
      <c r="I8" s="45">
        <f t="shared" si="0"/>
        <v>-7633430.1399999857</v>
      </c>
      <c r="J8" s="333">
        <f t="shared" si="1"/>
        <v>-5.8937633090554435E-2</v>
      </c>
      <c r="K8" s="745">
        <v>310840992</v>
      </c>
    </row>
    <row r="9" spans="1:11" ht="11.25" customHeight="1" x14ac:dyDescent="0.2">
      <c r="A9" s="87" t="s">
        <v>858</v>
      </c>
      <c r="B9" s="424"/>
      <c r="C9" s="758">
        <v>107293394</v>
      </c>
      <c r="D9" s="755">
        <v>133773012</v>
      </c>
      <c r="E9" s="743">
        <v>133773012</v>
      </c>
      <c r="F9" s="743">
        <v>8472856.5299999975</v>
      </c>
      <c r="G9" s="743">
        <v>42583377.640000001</v>
      </c>
      <c r="H9" s="743">
        <f t="shared" si="2"/>
        <v>55738755</v>
      </c>
      <c r="I9" s="45">
        <f t="shared" si="0"/>
        <v>-13155377.359999999</v>
      </c>
      <c r="J9" s="333">
        <f t="shared" si="1"/>
        <v>-0.23601850023381396</v>
      </c>
      <c r="K9" s="745">
        <v>133773012</v>
      </c>
    </row>
    <row r="10" spans="1:11" ht="11.25" customHeight="1" x14ac:dyDescent="0.2">
      <c r="A10" s="520" t="s">
        <v>74</v>
      </c>
      <c r="B10" s="424"/>
      <c r="C10" s="758">
        <v>102693559</v>
      </c>
      <c r="D10" s="755">
        <v>128626992</v>
      </c>
      <c r="E10" s="743">
        <v>128626992</v>
      </c>
      <c r="F10" s="743">
        <v>9461303.5600000005</v>
      </c>
      <c r="G10" s="743">
        <v>47253162.07</v>
      </c>
      <c r="H10" s="743">
        <f t="shared" si="2"/>
        <v>53594580</v>
      </c>
      <c r="I10" s="45">
        <f t="shared" si="0"/>
        <v>-6341417.9299999997</v>
      </c>
      <c r="J10" s="333">
        <f t="shared" si="1"/>
        <v>-0.11832200065752917</v>
      </c>
      <c r="K10" s="745">
        <v>128626992</v>
      </c>
    </row>
    <row r="11" spans="1:11" ht="11.25" customHeight="1" x14ac:dyDescent="0.2">
      <c r="A11" s="87" t="s">
        <v>859</v>
      </c>
      <c r="B11" s="424"/>
      <c r="C11" s="758"/>
      <c r="D11" s="755"/>
      <c r="E11" s="743"/>
      <c r="F11" s="743"/>
      <c r="G11" s="743"/>
      <c r="H11" s="743">
        <f t="shared" si="2"/>
        <v>0</v>
      </c>
      <c r="I11" s="45">
        <f t="shared" si="0"/>
        <v>0</v>
      </c>
      <c r="J11" s="333" t="str">
        <f t="shared" si="1"/>
        <v/>
      </c>
      <c r="K11" s="745"/>
    </row>
    <row r="12" spans="1:11" ht="11.25" customHeight="1" x14ac:dyDescent="0.2">
      <c r="A12" s="87" t="s">
        <v>993</v>
      </c>
      <c r="B12" s="424"/>
      <c r="C12" s="758">
        <v>14721734</v>
      </c>
      <c r="D12" s="755">
        <v>39538944</v>
      </c>
      <c r="E12" s="743">
        <v>39538944</v>
      </c>
      <c r="F12" s="743">
        <v>613820.54</v>
      </c>
      <c r="G12" s="743">
        <v>5061410.46</v>
      </c>
      <c r="H12" s="743">
        <f t="shared" si="2"/>
        <v>16474560</v>
      </c>
      <c r="I12" s="45">
        <f t="shared" si="0"/>
        <v>-11413149.539999999</v>
      </c>
      <c r="J12" s="333">
        <f t="shared" si="1"/>
        <v>-0.69277416453003904</v>
      </c>
      <c r="K12" s="745">
        <v>39538944</v>
      </c>
    </row>
    <row r="13" spans="1:11" ht="11.25" customHeight="1" x14ac:dyDescent="0.2">
      <c r="A13" s="87" t="s">
        <v>862</v>
      </c>
      <c r="B13" s="424"/>
      <c r="C13" s="758">
        <v>13123882</v>
      </c>
      <c r="D13" s="755">
        <v>28917996</v>
      </c>
      <c r="E13" s="743">
        <v>28917996</v>
      </c>
      <c r="F13" s="743">
        <v>1061679.7</v>
      </c>
      <c r="G13" s="743">
        <v>6514776.0600000005</v>
      </c>
      <c r="H13" s="743">
        <f t="shared" si="2"/>
        <v>12049165</v>
      </c>
      <c r="I13" s="45">
        <f t="shared" si="0"/>
        <v>-5534388.9399999995</v>
      </c>
      <c r="J13" s="333">
        <f t="shared" si="1"/>
        <v>-0.45931721741714049</v>
      </c>
      <c r="K13" s="745">
        <v>28917996</v>
      </c>
    </row>
    <row r="14" spans="1:11" ht="11.25" customHeight="1" x14ac:dyDescent="0.2">
      <c r="A14" s="87" t="s">
        <v>863</v>
      </c>
      <c r="B14" s="424"/>
      <c r="C14" s="758">
        <v>64961794</v>
      </c>
      <c r="D14" s="755">
        <v>84800004</v>
      </c>
      <c r="E14" s="743">
        <v>84800004</v>
      </c>
      <c r="F14" s="743">
        <v>8669434.870000001</v>
      </c>
      <c r="G14" s="743">
        <v>42189555.090000004</v>
      </c>
      <c r="H14" s="743">
        <f t="shared" si="2"/>
        <v>35333335</v>
      </c>
      <c r="I14" s="45">
        <f t="shared" si="0"/>
        <v>6856220.0900000036</v>
      </c>
      <c r="J14" s="333">
        <f t="shared" si="1"/>
        <v>0.19404395565830407</v>
      </c>
      <c r="K14" s="745">
        <v>84800004</v>
      </c>
    </row>
    <row r="15" spans="1:11" ht="11.25" customHeight="1" x14ac:dyDescent="0.2">
      <c r="A15" s="87" t="s">
        <v>951</v>
      </c>
      <c r="B15" s="424"/>
      <c r="C15" s="758">
        <v>0</v>
      </c>
      <c r="D15" s="755">
        <v>0</v>
      </c>
      <c r="E15" s="743">
        <v>0</v>
      </c>
      <c r="F15" s="743">
        <v>0</v>
      </c>
      <c r="G15" s="743">
        <v>0</v>
      </c>
      <c r="H15" s="743">
        <f t="shared" si="2"/>
        <v>0</v>
      </c>
      <c r="I15" s="45">
        <f t="shared" si="0"/>
        <v>0</v>
      </c>
      <c r="J15" s="333" t="str">
        <f t="shared" si="1"/>
        <v/>
      </c>
      <c r="K15" s="745">
        <v>0</v>
      </c>
    </row>
    <row r="16" spans="1:11" ht="11.25" customHeight="1" x14ac:dyDescent="0.2">
      <c r="A16" s="87" t="s">
        <v>1153</v>
      </c>
      <c r="B16" s="424"/>
      <c r="C16" s="758">
        <v>35764257</v>
      </c>
      <c r="D16" s="755">
        <v>16959996</v>
      </c>
      <c r="E16" s="743">
        <v>16959996</v>
      </c>
      <c r="F16" s="743">
        <v>5975861.3300000001</v>
      </c>
      <c r="G16" s="743">
        <v>7506667.2399999993</v>
      </c>
      <c r="H16" s="743">
        <f t="shared" si="2"/>
        <v>7066665</v>
      </c>
      <c r="I16" s="45">
        <f t="shared" si="0"/>
        <v>440002.23999999929</v>
      </c>
      <c r="J16" s="333">
        <f t="shared" si="1"/>
        <v>6.2264482609547686E-2</v>
      </c>
      <c r="K16" s="745">
        <v>16959996</v>
      </c>
    </row>
    <row r="17" spans="1:11" ht="11.25" customHeight="1" x14ac:dyDescent="0.2">
      <c r="A17" s="87" t="s">
        <v>864</v>
      </c>
      <c r="B17" s="424"/>
      <c r="C17" s="758">
        <v>11241520</v>
      </c>
      <c r="D17" s="755">
        <v>15784020</v>
      </c>
      <c r="E17" s="743">
        <v>15784020</v>
      </c>
      <c r="F17" s="743">
        <v>898500.68</v>
      </c>
      <c r="G17" s="743">
        <v>4514700.37</v>
      </c>
      <c r="H17" s="743">
        <f t="shared" si="2"/>
        <v>6576675</v>
      </c>
      <c r="I17" s="45">
        <f t="shared" si="0"/>
        <v>-2061974.63</v>
      </c>
      <c r="J17" s="333">
        <f t="shared" si="1"/>
        <v>-0.31352843648196083</v>
      </c>
      <c r="K17" s="745">
        <v>15784020</v>
      </c>
    </row>
    <row r="18" spans="1:11" ht="11.25" customHeight="1" x14ac:dyDescent="0.2">
      <c r="A18" s="87" t="s">
        <v>600</v>
      </c>
      <c r="B18" s="424"/>
      <c r="C18" s="758">
        <v>23520165</v>
      </c>
      <c r="D18" s="755">
        <v>26499996</v>
      </c>
      <c r="E18" s="743">
        <v>26499996</v>
      </c>
      <c r="F18" s="743">
        <v>7220463.46</v>
      </c>
      <c r="G18" s="743">
        <v>43430838.799999997</v>
      </c>
      <c r="H18" s="743">
        <f t="shared" si="2"/>
        <v>11041665</v>
      </c>
      <c r="I18" s="45">
        <f t="shared" si="0"/>
        <v>32389173.799999997</v>
      </c>
      <c r="J18" s="333">
        <f t="shared" si="1"/>
        <v>2.9333595793750304</v>
      </c>
      <c r="K18" s="745">
        <v>26499996</v>
      </c>
    </row>
    <row r="19" spans="1:11" ht="11.25" customHeight="1" x14ac:dyDescent="0.2">
      <c r="A19" s="521" t="s">
        <v>1154</v>
      </c>
      <c r="B19" s="424"/>
      <c r="C19" s="758">
        <v>951365113</v>
      </c>
      <c r="D19" s="755">
        <v>1039367004</v>
      </c>
      <c r="E19" s="743">
        <v>1039367004</v>
      </c>
      <c r="F19" s="983">
        <v>10495686.24</v>
      </c>
      <c r="G19" s="983">
        <v>418367079.45999998</v>
      </c>
      <c r="H19" s="743">
        <f t="shared" si="2"/>
        <v>433069585</v>
      </c>
      <c r="I19" s="45">
        <f t="shared" si="0"/>
        <v>-14702505.540000021</v>
      </c>
      <c r="J19" s="333">
        <f t="shared" si="1"/>
        <v>-3.3949522315218743E-2</v>
      </c>
      <c r="K19" s="745">
        <v>1039367004</v>
      </c>
    </row>
    <row r="20" spans="1:11" ht="11.25" customHeight="1" x14ac:dyDescent="0.2">
      <c r="A20" s="87" t="s">
        <v>463</v>
      </c>
      <c r="B20" s="424"/>
      <c r="C20" s="758">
        <v>15221515</v>
      </c>
      <c r="D20" s="755">
        <v>297848664</v>
      </c>
      <c r="E20" s="743">
        <v>297848664</v>
      </c>
      <c r="F20" s="743">
        <v>2388513.4299999997</v>
      </c>
      <c r="G20" s="743">
        <v>12820243.529999999</v>
      </c>
      <c r="H20" s="743">
        <f t="shared" si="2"/>
        <v>124103610</v>
      </c>
      <c r="I20" s="45">
        <f t="shared" si="0"/>
        <v>-111283366.47</v>
      </c>
      <c r="J20" s="333">
        <f t="shared" si="1"/>
        <v>-0.89669725538201506</v>
      </c>
      <c r="K20" s="745">
        <v>297848664</v>
      </c>
    </row>
    <row r="21" spans="1:11" ht="11.25" customHeight="1" x14ac:dyDescent="0.2">
      <c r="A21" s="40" t="s">
        <v>865</v>
      </c>
      <c r="B21" s="422"/>
      <c r="C21" s="758">
        <v>5546307</v>
      </c>
      <c r="D21" s="755">
        <v>0</v>
      </c>
      <c r="E21" s="743">
        <v>0</v>
      </c>
      <c r="F21" s="743">
        <v>0</v>
      </c>
      <c r="G21" s="743">
        <v>0</v>
      </c>
      <c r="H21" s="743">
        <f t="shared" si="2"/>
        <v>0</v>
      </c>
      <c r="I21" s="45">
        <f t="shared" si="0"/>
        <v>0</v>
      </c>
      <c r="J21" s="333" t="str">
        <f t="shared" si="1"/>
        <v/>
      </c>
      <c r="K21" s="745">
        <v>0</v>
      </c>
    </row>
    <row r="22" spans="1:11" ht="24.75" customHeight="1" x14ac:dyDescent="0.2">
      <c r="A22" s="595" t="s">
        <v>140</v>
      </c>
      <c r="B22" s="596"/>
      <c r="C22" s="525">
        <f t="shared" ref="C22:H22" si="3">SUM(C6:C21)</f>
        <v>2959220618.02</v>
      </c>
      <c r="D22" s="526">
        <f t="shared" si="3"/>
        <v>3795787632</v>
      </c>
      <c r="E22" s="527">
        <f t="shared" si="3"/>
        <v>3795787632</v>
      </c>
      <c r="F22" s="527">
        <f t="shared" si="3"/>
        <v>193767307.13000005</v>
      </c>
      <c r="G22" s="527">
        <f t="shared" si="3"/>
        <v>1391799659.51</v>
      </c>
      <c r="H22" s="527">
        <f t="shared" si="3"/>
        <v>1581578180</v>
      </c>
      <c r="I22" s="527">
        <f t="shared" si="0"/>
        <v>-189778520.49000001</v>
      </c>
      <c r="J22" s="528">
        <f t="shared" si="1"/>
        <v>-0.11999313273909736</v>
      </c>
      <c r="K22" s="529">
        <f>SUM(K6:K21)</f>
        <v>3795787632</v>
      </c>
    </row>
    <row r="23" spans="1:11" ht="5.0999999999999996" customHeight="1" x14ac:dyDescent="0.2">
      <c r="A23" s="43"/>
      <c r="B23" s="422"/>
      <c r="C23" s="135"/>
      <c r="D23" s="47"/>
      <c r="E23" s="45"/>
      <c r="F23" s="45"/>
      <c r="G23" s="45"/>
      <c r="H23" s="45"/>
      <c r="I23" s="45"/>
      <c r="J23" s="45"/>
      <c r="K23" s="145"/>
    </row>
    <row r="24" spans="1:11" ht="12.75" customHeight="1" x14ac:dyDescent="0.2">
      <c r="A24" s="36" t="s">
        <v>500</v>
      </c>
      <c r="B24" s="423"/>
      <c r="C24" s="135"/>
      <c r="D24" s="47"/>
      <c r="E24" s="45"/>
      <c r="F24" s="45"/>
      <c r="G24" s="45"/>
      <c r="H24" s="45"/>
      <c r="I24" s="45"/>
      <c r="J24" s="45"/>
      <c r="K24" s="145"/>
    </row>
    <row r="25" spans="1:11" ht="12.75" customHeight="1" x14ac:dyDescent="0.2">
      <c r="A25" s="40" t="s">
        <v>866</v>
      </c>
      <c r="B25" s="424"/>
      <c r="C25" s="758">
        <v>854297099</v>
      </c>
      <c r="D25" s="755">
        <v>921191480</v>
      </c>
      <c r="E25" s="743">
        <v>921762604</v>
      </c>
      <c r="F25" s="743">
        <v>69988557.760000065</v>
      </c>
      <c r="G25" s="985">
        <v>358141099.04999995</v>
      </c>
      <c r="H25" s="743">
        <f t="shared" ref="H25:H35" si="4">E25/12*5</f>
        <v>384067751.66666663</v>
      </c>
      <c r="I25" s="45">
        <f t="shared" ref="I25:I36" si="5">G25-H25</f>
        <v>-25926652.616666675</v>
      </c>
      <c r="J25" s="333">
        <f t="shared" ref="J25:J41" si="6">IF(I25=0,"",I25/H25)</f>
        <v>-6.7505414094668592E-2</v>
      </c>
      <c r="K25" s="745">
        <v>921762604</v>
      </c>
    </row>
    <row r="26" spans="1:11" ht="12.75" customHeight="1" x14ac:dyDescent="0.2">
      <c r="A26" s="40" t="s">
        <v>489</v>
      </c>
      <c r="B26" s="422"/>
      <c r="C26" s="758">
        <v>37953706.430000007</v>
      </c>
      <c r="D26" s="755">
        <v>40099968</v>
      </c>
      <c r="E26" s="743">
        <v>40099968</v>
      </c>
      <c r="F26" s="743">
        <v>3232173.23</v>
      </c>
      <c r="G26" s="986">
        <v>15851830.75</v>
      </c>
      <c r="H26" s="743">
        <f t="shared" si="4"/>
        <v>16708320</v>
      </c>
      <c r="I26" s="45">
        <f t="shared" si="5"/>
        <v>-856489.25</v>
      </c>
      <c r="J26" s="333">
        <f t="shared" si="6"/>
        <v>-5.1261242901739973E-2</v>
      </c>
      <c r="K26" s="745">
        <v>40099968</v>
      </c>
    </row>
    <row r="27" spans="1:11" ht="12.75" customHeight="1" x14ac:dyDescent="0.2">
      <c r="A27" s="87" t="s">
        <v>631</v>
      </c>
      <c r="B27" s="424"/>
      <c r="C27" s="758">
        <v>152106772.26999998</v>
      </c>
      <c r="D27" s="755">
        <v>200000004</v>
      </c>
      <c r="E27" s="743">
        <v>200000004</v>
      </c>
      <c r="F27" s="743">
        <v>16666667</v>
      </c>
      <c r="G27" s="743">
        <v>83333335</v>
      </c>
      <c r="H27" s="743">
        <f>E27/12*5</f>
        <v>83333335</v>
      </c>
      <c r="I27" s="45">
        <f t="shared" si="5"/>
        <v>0</v>
      </c>
      <c r="J27" s="333" t="str">
        <f t="shared" si="6"/>
        <v/>
      </c>
      <c r="K27" s="745">
        <v>200000004</v>
      </c>
    </row>
    <row r="28" spans="1:11" ht="12.75" customHeight="1" x14ac:dyDescent="0.2">
      <c r="A28" s="87" t="s">
        <v>684</v>
      </c>
      <c r="B28" s="424"/>
      <c r="C28" s="758">
        <v>729667597.54999995</v>
      </c>
      <c r="D28" s="755">
        <v>236999988</v>
      </c>
      <c r="E28" s="743">
        <v>237000000</v>
      </c>
      <c r="F28" s="743">
        <v>19749999</v>
      </c>
      <c r="G28" s="743">
        <v>98750000</v>
      </c>
      <c r="H28" s="743">
        <f t="shared" si="4"/>
        <v>98750000</v>
      </c>
      <c r="I28" s="45">
        <f t="shared" si="5"/>
        <v>0</v>
      </c>
      <c r="J28" s="333" t="str">
        <f t="shared" si="6"/>
        <v/>
      </c>
      <c r="K28" s="745">
        <v>237000000</v>
      </c>
    </row>
    <row r="29" spans="1:11" ht="12.75" customHeight="1" x14ac:dyDescent="0.2">
      <c r="A29" s="87" t="s">
        <v>462</v>
      </c>
      <c r="B29" s="424"/>
      <c r="C29" s="758">
        <v>62780466.380000003</v>
      </c>
      <c r="D29" s="755">
        <v>85122000</v>
      </c>
      <c r="E29" s="743">
        <v>85122000</v>
      </c>
      <c r="F29" s="743">
        <v>0</v>
      </c>
      <c r="G29" s="743">
        <v>32464062.57</v>
      </c>
      <c r="H29" s="743">
        <f t="shared" si="4"/>
        <v>35467500</v>
      </c>
      <c r="I29" s="45">
        <f t="shared" si="5"/>
        <v>-3003437.4299999997</v>
      </c>
      <c r="J29" s="333">
        <f t="shared" si="6"/>
        <v>-8.4681396489744126E-2</v>
      </c>
      <c r="K29" s="745">
        <v>85122000</v>
      </c>
    </row>
    <row r="30" spans="1:11" ht="12.75" customHeight="1" x14ac:dyDescent="0.2">
      <c r="A30" s="87" t="s">
        <v>869</v>
      </c>
      <c r="B30" s="424"/>
      <c r="C30" s="758">
        <v>820979261.64999998</v>
      </c>
      <c r="D30" s="755">
        <v>968547000</v>
      </c>
      <c r="E30" s="743">
        <v>933547000</v>
      </c>
      <c r="F30" s="743">
        <v>70427148.769999996</v>
      </c>
      <c r="G30" s="743">
        <v>428925390.69000006</v>
      </c>
      <c r="H30" s="743">
        <f t="shared" si="4"/>
        <v>388977916.66666663</v>
      </c>
      <c r="I30" s="45">
        <f t="shared" si="5"/>
        <v>39947474.02333343</v>
      </c>
      <c r="J30" s="333">
        <f t="shared" si="6"/>
        <v>0.10269856542412995</v>
      </c>
      <c r="K30" s="745">
        <v>933547000</v>
      </c>
    </row>
    <row r="31" spans="1:11" ht="12.75" customHeight="1" x14ac:dyDescent="0.2">
      <c r="A31" s="87" t="s">
        <v>950</v>
      </c>
      <c r="B31" s="424"/>
      <c r="C31" s="758">
        <v>69330468</v>
      </c>
      <c r="D31" s="755">
        <v>85588932</v>
      </c>
      <c r="E31" s="743">
        <v>86311932</v>
      </c>
      <c r="F31" s="743">
        <v>5076892.9099999992</v>
      </c>
      <c r="G31" s="743">
        <v>18896983.199999992</v>
      </c>
      <c r="H31" s="743">
        <f t="shared" si="4"/>
        <v>35963305</v>
      </c>
      <c r="I31" s="45">
        <f t="shared" si="5"/>
        <v>-17066321.800000008</v>
      </c>
      <c r="J31" s="333">
        <f t="shared" si="6"/>
        <v>-0.4745482040652273</v>
      </c>
      <c r="K31" s="745">
        <v>86311932</v>
      </c>
    </row>
    <row r="32" spans="1:11" ht="12.75" customHeight="1" x14ac:dyDescent="0.2">
      <c r="A32" s="87" t="s">
        <v>870</v>
      </c>
      <c r="B32" s="424"/>
      <c r="C32" s="758">
        <v>814603087</v>
      </c>
      <c r="D32" s="755">
        <v>757055992</v>
      </c>
      <c r="E32" s="743">
        <v>787166996</v>
      </c>
      <c r="F32" s="743">
        <v>71055255.200000003</v>
      </c>
      <c r="G32" s="743">
        <v>255538636.66999999</v>
      </c>
      <c r="H32" s="743">
        <f t="shared" si="4"/>
        <v>327986248.33333331</v>
      </c>
      <c r="I32" s="45">
        <f t="shared" si="5"/>
        <v>-72447611.663333327</v>
      </c>
      <c r="J32" s="333">
        <f t="shared" si="6"/>
        <v>-0.22088612565763618</v>
      </c>
      <c r="K32" s="745">
        <v>787166996</v>
      </c>
    </row>
    <row r="33" spans="1:12" ht="12.75" customHeight="1" x14ac:dyDescent="0.2">
      <c r="A33" s="520" t="s">
        <v>1154</v>
      </c>
      <c r="B33" s="424"/>
      <c r="C33" s="758">
        <v>8420000</v>
      </c>
      <c r="D33" s="755">
        <v>11500008</v>
      </c>
      <c r="E33" s="743">
        <v>11500008</v>
      </c>
      <c r="F33" s="743">
        <v>580000</v>
      </c>
      <c r="G33" s="743">
        <v>2940000</v>
      </c>
      <c r="H33" s="743">
        <f t="shared" si="4"/>
        <v>4791670</v>
      </c>
      <c r="I33" s="45">
        <f t="shared" si="5"/>
        <v>-1851670</v>
      </c>
      <c r="J33" s="333">
        <f t="shared" si="6"/>
        <v>-0.38643520943637605</v>
      </c>
      <c r="K33" s="745">
        <v>11500008</v>
      </c>
    </row>
    <row r="34" spans="1:12" ht="12.75" customHeight="1" x14ac:dyDescent="0.2">
      <c r="A34" s="87" t="s">
        <v>443</v>
      </c>
      <c r="B34" s="424"/>
      <c r="C34" s="758">
        <v>239150603</v>
      </c>
      <c r="D34" s="755">
        <v>243825144</v>
      </c>
      <c r="E34" s="743">
        <v>245194000</v>
      </c>
      <c r="F34" s="743">
        <v>11443766.439999999</v>
      </c>
      <c r="G34" s="743">
        <v>82757459.530000016</v>
      </c>
      <c r="H34" s="743">
        <f t="shared" si="4"/>
        <v>102164166.66666666</v>
      </c>
      <c r="I34" s="45">
        <f t="shared" si="5"/>
        <v>-19406707.136666641</v>
      </c>
      <c r="J34" s="333">
        <f t="shared" si="6"/>
        <v>-0.18995610466814009</v>
      </c>
      <c r="K34" s="745">
        <v>245194000</v>
      </c>
    </row>
    <row r="35" spans="1:12" ht="12.75" customHeight="1" x14ac:dyDescent="0.2">
      <c r="A35" s="40" t="s">
        <v>598</v>
      </c>
      <c r="B35" s="422"/>
      <c r="C35" s="758">
        <v>0</v>
      </c>
      <c r="D35" s="755"/>
      <c r="E35" s="743">
        <v>0</v>
      </c>
      <c r="F35" s="743">
        <v>0</v>
      </c>
      <c r="G35" s="743">
        <v>0</v>
      </c>
      <c r="H35" s="743">
        <f t="shared" si="4"/>
        <v>0</v>
      </c>
      <c r="I35" s="45">
        <f t="shared" si="5"/>
        <v>0</v>
      </c>
      <c r="J35" s="333" t="str">
        <f t="shared" si="6"/>
        <v/>
      </c>
      <c r="K35" s="745">
        <v>0</v>
      </c>
    </row>
    <row r="36" spans="1:12" ht="12.75" customHeight="1" x14ac:dyDescent="0.2">
      <c r="A36" s="93" t="s">
        <v>501</v>
      </c>
      <c r="B36" s="425"/>
      <c r="C36" s="244">
        <f t="shared" ref="C36:K36" si="7">SUM(C25:C35)</f>
        <v>3789289061.2800002</v>
      </c>
      <c r="D36" s="75">
        <f>SUM(D25:D35)</f>
        <v>3549930516</v>
      </c>
      <c r="E36" s="74">
        <f>SUM(E25:E35)</f>
        <v>3547704512</v>
      </c>
      <c r="F36" s="74">
        <f t="shared" si="7"/>
        <v>268220460.31000006</v>
      </c>
      <c r="G36" s="74">
        <f t="shared" si="7"/>
        <v>1377598797.46</v>
      </c>
      <c r="H36" s="74">
        <f t="shared" si="7"/>
        <v>1478210213.3333333</v>
      </c>
      <c r="I36" s="74">
        <f t="shared" si="5"/>
        <v>-100611415.87333322</v>
      </c>
      <c r="J36" s="334">
        <f t="shared" si="6"/>
        <v>-6.8062996024399372E-2</v>
      </c>
      <c r="K36" s="146">
        <f t="shared" si="7"/>
        <v>3547704512</v>
      </c>
    </row>
    <row r="37" spans="1:12" ht="5.0999999999999996" customHeight="1" x14ac:dyDescent="0.2">
      <c r="A37" s="43"/>
      <c r="B37" s="422"/>
      <c r="C37" s="135"/>
      <c r="D37" s="47"/>
      <c r="E37" s="45"/>
      <c r="F37" s="45"/>
      <c r="G37" s="45"/>
      <c r="H37" s="45"/>
      <c r="I37" s="48"/>
      <c r="J37" s="48"/>
      <c r="K37" s="145"/>
    </row>
    <row r="38" spans="1:12" ht="12.75" customHeight="1" x14ac:dyDescent="0.2">
      <c r="A38" s="88" t="s">
        <v>502</v>
      </c>
      <c r="B38" s="422"/>
      <c r="C38" s="110">
        <f t="shared" ref="C38:H38" si="8">C22-C36</f>
        <v>-830068443.26000023</v>
      </c>
      <c r="D38" s="52">
        <f t="shared" si="8"/>
        <v>245857116</v>
      </c>
      <c r="E38" s="51">
        <f t="shared" si="8"/>
        <v>248083120</v>
      </c>
      <c r="F38" s="51">
        <f t="shared" si="8"/>
        <v>-74453153.180000007</v>
      </c>
      <c r="G38" s="51">
        <f t="shared" si="8"/>
        <v>14200862.049999952</v>
      </c>
      <c r="H38" s="51">
        <f t="shared" si="8"/>
        <v>103367966.66666675</v>
      </c>
      <c r="I38" s="103">
        <f>I22-I36</f>
        <v>-89167104.616666794</v>
      </c>
      <c r="J38" s="103">
        <f t="shared" si="6"/>
        <v>-0.86261834775376955</v>
      </c>
      <c r="K38" s="195">
        <f>K22-K36</f>
        <v>248083120</v>
      </c>
    </row>
    <row r="39" spans="1:12" ht="19.95" customHeight="1" x14ac:dyDescent="0.2">
      <c r="A39" s="949" t="s">
        <v>1155</v>
      </c>
      <c r="B39" s="422"/>
      <c r="C39" s="758">
        <v>1086422713</v>
      </c>
      <c r="D39" s="755">
        <v>1267135992</v>
      </c>
      <c r="E39" s="743">
        <v>1267135992</v>
      </c>
      <c r="F39" s="984">
        <v>109172713.91</v>
      </c>
      <c r="G39" s="984">
        <v>344348012.64999998</v>
      </c>
      <c r="H39" s="743">
        <f>E39/12*5</f>
        <v>527973330</v>
      </c>
      <c r="I39" s="48">
        <f>G39-H39</f>
        <v>-183625317.35000002</v>
      </c>
      <c r="J39" s="103">
        <f t="shared" si="6"/>
        <v>-0.34779278974186068</v>
      </c>
      <c r="K39" s="745">
        <v>1267135992</v>
      </c>
    </row>
    <row r="40" spans="1:12" ht="39.6" customHeight="1" x14ac:dyDescent="0.2">
      <c r="A40" s="949" t="s">
        <v>1156</v>
      </c>
      <c r="B40" s="422"/>
      <c r="C40" s="758">
        <v>0</v>
      </c>
      <c r="D40" s="755">
        <v>0</v>
      </c>
      <c r="E40" s="743">
        <v>0</v>
      </c>
      <c r="F40" s="743">
        <v>0</v>
      </c>
      <c r="G40" s="743">
        <v>0</v>
      </c>
      <c r="H40" s="743">
        <f t="shared" ref="H40:H41" si="9">E40/12*5</f>
        <v>0</v>
      </c>
      <c r="I40" s="48">
        <f>G40-H40</f>
        <v>0</v>
      </c>
      <c r="J40" s="103" t="str">
        <f t="shared" si="6"/>
        <v/>
      </c>
      <c r="K40" s="745">
        <v>0</v>
      </c>
    </row>
    <row r="41" spans="1:12" ht="12.75" customHeight="1" x14ac:dyDescent="0.2">
      <c r="A41" s="521" t="s">
        <v>1157</v>
      </c>
      <c r="B41" s="422"/>
      <c r="C41" s="759">
        <v>0</v>
      </c>
      <c r="D41" s="760">
        <v>0</v>
      </c>
      <c r="E41" s="761">
        <v>0</v>
      </c>
      <c r="F41" s="761">
        <v>0</v>
      </c>
      <c r="G41" s="761">
        <v>0</v>
      </c>
      <c r="H41" s="743">
        <f t="shared" si="9"/>
        <v>0</v>
      </c>
      <c r="I41" s="48">
        <f>G41-H41</f>
        <v>0</v>
      </c>
      <c r="J41" s="103" t="str">
        <f t="shared" si="6"/>
        <v/>
      </c>
      <c r="K41" s="745">
        <v>0</v>
      </c>
    </row>
    <row r="42" spans="1:12" x14ac:dyDescent="0.2">
      <c r="A42" s="251" t="s">
        <v>774</v>
      </c>
      <c r="B42" s="524"/>
      <c r="C42" s="253">
        <f t="shared" ref="C42:H42" si="10">C38+SUM(C39:C41)</f>
        <v>256354269.73999977</v>
      </c>
      <c r="D42" s="254">
        <f t="shared" si="10"/>
        <v>1512993108</v>
      </c>
      <c r="E42" s="255">
        <f t="shared" si="10"/>
        <v>1515219112</v>
      </c>
      <c r="F42" s="255">
        <f t="shared" si="10"/>
        <v>34719560.729999989</v>
      </c>
      <c r="G42" s="255">
        <f t="shared" si="10"/>
        <v>358548874.69999993</v>
      </c>
      <c r="H42" s="255">
        <f t="shared" si="10"/>
        <v>631341296.66666675</v>
      </c>
      <c r="I42" s="332"/>
      <c r="J42" s="332"/>
      <c r="K42" s="256">
        <f>K38+SUM(K39:K41)</f>
        <v>1515219112</v>
      </c>
    </row>
    <row r="43" spans="1:12" ht="12.75" customHeight="1" x14ac:dyDescent="0.2">
      <c r="A43" s="40" t="s">
        <v>478</v>
      </c>
      <c r="B43" s="422"/>
      <c r="C43" s="759"/>
      <c r="D43" s="760">
        <v>0</v>
      </c>
      <c r="E43" s="761">
        <v>0</v>
      </c>
      <c r="F43" s="761">
        <v>0</v>
      </c>
      <c r="G43" s="761">
        <v>0</v>
      </c>
      <c r="H43" s="761">
        <v>0</v>
      </c>
      <c r="I43" s="100">
        <f>G43-H43</f>
        <v>0</v>
      </c>
      <c r="J43" s="100" t="str">
        <f>IF(I43=0,"",I43/H43)</f>
        <v/>
      </c>
      <c r="K43" s="762">
        <v>0</v>
      </c>
    </row>
    <row r="44" spans="1:12" ht="12.75" customHeight="1" x14ac:dyDescent="0.2">
      <c r="A44" s="88" t="s">
        <v>479</v>
      </c>
      <c r="B44" s="422"/>
      <c r="C44" s="110">
        <f t="shared" ref="C44:H44" si="11">C42-C43</f>
        <v>256354269.73999977</v>
      </c>
      <c r="D44" s="52">
        <f t="shared" si="11"/>
        <v>1512993108</v>
      </c>
      <c r="E44" s="51">
        <f t="shared" si="11"/>
        <v>1515219112</v>
      </c>
      <c r="F44" s="51">
        <f t="shared" si="11"/>
        <v>34719560.729999989</v>
      </c>
      <c r="G44" s="51">
        <f t="shared" si="11"/>
        <v>358548874.69999993</v>
      </c>
      <c r="H44" s="51">
        <f t="shared" si="11"/>
        <v>631341296.66666675</v>
      </c>
      <c r="I44" s="330"/>
      <c r="J44" s="330"/>
      <c r="K44" s="195">
        <f>K42-K43</f>
        <v>1515219112</v>
      </c>
    </row>
    <row r="45" spans="1:12" ht="12.75" customHeight="1" x14ac:dyDescent="0.2">
      <c r="A45" s="40" t="s">
        <v>480</v>
      </c>
      <c r="B45" s="422"/>
      <c r="C45" s="758"/>
      <c r="D45" s="755">
        <v>0</v>
      </c>
      <c r="E45" s="743">
        <v>0</v>
      </c>
      <c r="F45" s="743">
        <v>0</v>
      </c>
      <c r="G45" s="743">
        <v>0</v>
      </c>
      <c r="H45" s="743">
        <v>0</v>
      </c>
      <c r="I45" s="274"/>
      <c r="J45" s="274"/>
      <c r="K45" s="745">
        <v>0</v>
      </c>
    </row>
    <row r="46" spans="1:12" ht="12.75" customHeight="1" x14ac:dyDescent="0.2">
      <c r="A46" s="530" t="s">
        <v>147</v>
      </c>
      <c r="B46" s="429"/>
      <c r="C46" s="532">
        <f t="shared" ref="C46:H46" si="12">SUM(C44:C45)</f>
        <v>256354269.73999977</v>
      </c>
      <c r="D46" s="533">
        <f t="shared" si="12"/>
        <v>1512993108</v>
      </c>
      <c r="E46" s="531">
        <f t="shared" si="12"/>
        <v>1515219112</v>
      </c>
      <c r="F46" s="531">
        <f t="shared" si="12"/>
        <v>34719560.729999989</v>
      </c>
      <c r="G46" s="531">
        <f t="shared" si="12"/>
        <v>358548874.69999993</v>
      </c>
      <c r="H46" s="531">
        <f t="shared" si="12"/>
        <v>631341296.66666675</v>
      </c>
      <c r="I46" s="274"/>
      <c r="J46" s="274"/>
      <c r="K46" s="532">
        <f>SUM(K44:K45)</f>
        <v>1515219112</v>
      </c>
      <c r="L46" s="101"/>
    </row>
    <row r="47" spans="1:12" ht="12.75" customHeight="1" x14ac:dyDescent="0.2">
      <c r="A47" s="257" t="s">
        <v>491</v>
      </c>
      <c r="B47" s="523"/>
      <c r="C47" s="759">
        <v>0</v>
      </c>
      <c r="D47" s="760">
        <v>0</v>
      </c>
      <c r="E47" s="761">
        <v>0</v>
      </c>
      <c r="F47" s="761">
        <v>0</v>
      </c>
      <c r="G47" s="761">
        <v>0</v>
      </c>
      <c r="H47" s="761">
        <v>0</v>
      </c>
      <c r="I47" s="331"/>
      <c r="J47" s="331"/>
      <c r="K47" s="762">
        <v>0</v>
      </c>
    </row>
    <row r="48" spans="1:12" ht="12.75" customHeight="1" x14ac:dyDescent="0.2">
      <c r="A48" s="95" t="s">
        <v>922</v>
      </c>
      <c r="B48" s="421"/>
      <c r="C48" s="245">
        <f t="shared" ref="C48:H48" si="13">C46+C47</f>
        <v>256354269.73999977</v>
      </c>
      <c r="D48" s="78">
        <f t="shared" si="13"/>
        <v>1512993108</v>
      </c>
      <c r="E48" s="77">
        <f t="shared" si="13"/>
        <v>1515219112</v>
      </c>
      <c r="F48" s="77">
        <f t="shared" si="13"/>
        <v>34719560.729999989</v>
      </c>
      <c r="G48" s="77">
        <f t="shared" si="13"/>
        <v>358548874.69999993</v>
      </c>
      <c r="H48" s="77">
        <f t="shared" si="13"/>
        <v>631341296.66666675</v>
      </c>
      <c r="I48" s="337"/>
      <c r="J48" s="337"/>
      <c r="K48" s="235">
        <f>K46+K47</f>
        <v>1515219112</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4">C22+SUM(C39:C41)</f>
        <v>4045643331.02</v>
      </c>
      <c r="D53" s="63">
        <f t="shared" si="14"/>
        <v>5062923624</v>
      </c>
      <c r="E53" s="63">
        <f t="shared" si="14"/>
        <v>5062923624</v>
      </c>
      <c r="F53" s="63">
        <f t="shared" si="14"/>
        <v>302940021.04000008</v>
      </c>
      <c r="G53" s="63">
        <f t="shared" si="14"/>
        <v>1736147672.1599998</v>
      </c>
      <c r="H53" s="63">
        <f t="shared" si="14"/>
        <v>2109551510</v>
      </c>
      <c r="I53" s="63"/>
      <c r="J53" s="63"/>
      <c r="K53" s="63">
        <f>K22+SUM(K39:K41)</f>
        <v>5062923624</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9"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D58" activePane="bottomRight" state="frozen"/>
      <selection pane="topRight"/>
      <selection pane="bottomLeft"/>
      <selection pane="bottomRight" activeCell="K73" sqref="K73"/>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33" t="str">
        <f>muni&amp; " - "&amp;S71D&amp; " - "&amp;date</f>
        <v>LIM354 Polokwane - Table C5 Monthly Budget Statement - Capital Expenditure (municipal vote, functional classification and funding) - M05 November</v>
      </c>
      <c r="B1" s="1033"/>
      <c r="C1" s="1033"/>
      <c r="D1" s="1033"/>
      <c r="E1" s="1033"/>
      <c r="F1" s="1033"/>
      <c r="G1" s="1033"/>
      <c r="H1" s="1033"/>
      <c r="I1" s="1033"/>
      <c r="J1" s="1033"/>
      <c r="K1" s="1033"/>
    </row>
    <row r="2" spans="1:12" x14ac:dyDescent="0.2">
      <c r="A2" s="1031" t="str">
        <f>Vdesc</f>
        <v>Vote Description</v>
      </c>
      <c r="B2" s="1040" t="str">
        <f>head27</f>
        <v>Ref</v>
      </c>
      <c r="C2" s="140" t="str">
        <f>Head1</f>
        <v>2018/19</v>
      </c>
      <c r="D2" s="246" t="str">
        <f>Head2</f>
        <v>Budget Year 2019/20</v>
      </c>
      <c r="E2" s="230"/>
      <c r="F2" s="230"/>
      <c r="G2" s="230"/>
      <c r="H2" s="230"/>
      <c r="I2" s="230"/>
      <c r="J2" s="230"/>
      <c r="K2" s="231"/>
    </row>
    <row r="3" spans="1:12" ht="20.399999999999999" x14ac:dyDescent="0.2">
      <c r="A3" s="1032"/>
      <c r="B3" s="1041"/>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687</v>
      </c>
      <c r="B4" s="421">
        <v>1</v>
      </c>
      <c r="C4" s="188"/>
      <c r="D4" s="247"/>
      <c r="E4" s="242"/>
      <c r="F4" s="83"/>
      <c r="G4" s="83"/>
      <c r="H4" s="83"/>
      <c r="I4" s="83"/>
      <c r="J4" s="243" t="s">
        <v>594</v>
      </c>
      <c r="K4" s="224"/>
    </row>
    <row r="5" spans="1:12" ht="11.25" customHeight="1" x14ac:dyDescent="0.2">
      <c r="A5" s="183" t="s">
        <v>682</v>
      </c>
      <c r="B5" s="522">
        <v>2</v>
      </c>
      <c r="C5" s="135"/>
      <c r="D5" s="259"/>
      <c r="E5" s="45"/>
      <c r="F5" s="45"/>
      <c r="G5" s="45"/>
      <c r="H5" s="45"/>
      <c r="I5" s="45"/>
      <c r="J5" s="45"/>
      <c r="K5" s="145"/>
      <c r="L5" s="101"/>
    </row>
    <row r="6" spans="1:12" ht="13.5" customHeight="1" x14ac:dyDescent="0.2">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Municipal Manger Office</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Water and Sanitation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Energy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Public Safety</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Services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Human Settlement</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 xml:space="preserve">Vote 12 - </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 xml:space="preserve">Vote 13 - </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486</v>
      </c>
      <c r="B23" s="422">
        <v>2</v>
      </c>
      <c r="C23" s="135"/>
      <c r="D23" s="259"/>
      <c r="E23" s="45"/>
      <c r="F23" s="45"/>
      <c r="G23" s="45"/>
      <c r="H23" s="45"/>
      <c r="I23" s="45"/>
      <c r="J23" s="333"/>
      <c r="K23" s="145"/>
      <c r="L23" s="101"/>
    </row>
    <row r="24" spans="1:12" ht="12.75" customHeight="1" x14ac:dyDescent="0.2">
      <c r="A24" s="410" t="str">
        <f>'Org structure'!A2</f>
        <v>Vote 1 - Chef Operations Office</v>
      </c>
      <c r="B24" s="422"/>
      <c r="C24" s="135">
        <f>'C5C'!C176</f>
        <v>0</v>
      </c>
      <c r="D24" s="259">
        <f>'C5C'!D176</f>
        <v>5010000</v>
      </c>
      <c r="E24" s="45">
        <f>'C5C'!E176</f>
        <v>2840004</v>
      </c>
      <c r="F24" s="45">
        <f>'C5C'!F176</f>
        <v>0</v>
      </c>
      <c r="G24" s="45">
        <f>'C5C'!G176</f>
        <v>500000.00150000001</v>
      </c>
      <c r="H24" s="45">
        <f>'C5C'!H176</f>
        <v>1183335</v>
      </c>
      <c r="I24" s="45">
        <f>'C5C'!I176</f>
        <v>-683334.99849999999</v>
      </c>
      <c r="J24" s="333">
        <f>IF(I24=0,"",I24/H24)</f>
        <v>-0.57746538258396818</v>
      </c>
      <c r="K24" s="145">
        <f>'C5C'!K176</f>
        <v>2840004</v>
      </c>
      <c r="L24" s="101"/>
    </row>
    <row r="25" spans="1:12" ht="12.75" customHeight="1" x14ac:dyDescent="0.2">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Water and Sanitation</v>
      </c>
      <c r="B26" s="422"/>
      <c r="C26" s="135">
        <f>'C5C'!C198</f>
        <v>637033333.03299999</v>
      </c>
      <c r="D26" s="259">
        <f>'C5C'!D198</f>
        <v>924650632</v>
      </c>
      <c r="E26" s="45">
        <f>'C5C'!E198</f>
        <v>906285636</v>
      </c>
      <c r="F26" s="45">
        <f>'C5C'!F198</f>
        <v>83348887.674500003</v>
      </c>
      <c r="G26" s="45">
        <f>'C5C'!G198</f>
        <v>277184663.20799994</v>
      </c>
      <c r="H26" s="45">
        <f>'C5C'!H198</f>
        <v>377619015</v>
      </c>
      <c r="I26" s="45">
        <f>'C5C'!I198</f>
        <v>-100434351.79200006</v>
      </c>
      <c r="J26" s="333">
        <f t="shared" si="3"/>
        <v>-0.26596741107436039</v>
      </c>
      <c r="K26" s="145">
        <f>'C5C'!K198</f>
        <v>906285628</v>
      </c>
      <c r="L26" s="706"/>
    </row>
    <row r="27" spans="1:12" ht="12.75" customHeight="1" x14ac:dyDescent="0.2">
      <c r="A27" s="410" t="str">
        <f>'Org structure'!A5</f>
        <v>Vote 4 - Energy Services</v>
      </c>
      <c r="B27" s="422"/>
      <c r="C27" s="135">
        <f>'C5C'!C209</f>
        <v>37743513.567000002</v>
      </c>
      <c r="D27" s="259">
        <f>'C5C'!D209</f>
        <v>62247496</v>
      </c>
      <c r="E27" s="45">
        <f>'C5C'!E209</f>
        <v>62247496</v>
      </c>
      <c r="F27" s="45">
        <f>'C5C'!F209</f>
        <v>4136950.7749999999</v>
      </c>
      <c r="G27" s="45">
        <f>'C5C'!G209</f>
        <v>8961735.3870000001</v>
      </c>
      <c r="H27" s="45">
        <f>'C5C'!H209</f>
        <v>25936456.666666664</v>
      </c>
      <c r="I27" s="45">
        <f>'C5C'!I209</f>
        <v>-16974721.279666662</v>
      </c>
      <c r="J27" s="333">
        <f t="shared" si="3"/>
        <v>-0.65447341160839612</v>
      </c>
      <c r="K27" s="145">
        <f>'C5C'!K209</f>
        <v>62247496</v>
      </c>
      <c r="L27" s="706"/>
    </row>
    <row r="28" spans="1:12" ht="12.75" customHeight="1" x14ac:dyDescent="0.2">
      <c r="A28" s="410" t="str">
        <f>'Org structure'!A6</f>
        <v>Vote 5 - Community Services</v>
      </c>
      <c r="B28" s="422"/>
      <c r="C28" s="135">
        <f>'C5C'!C220</f>
        <v>36671076.902499996</v>
      </c>
      <c r="D28" s="259">
        <f>'C5C'!D220</f>
        <v>91500792</v>
      </c>
      <c r="E28" s="45">
        <f>'C5C'!E220</f>
        <v>85000796</v>
      </c>
      <c r="F28" s="45">
        <f>'C5C'!F220</f>
        <v>6837298.1129999999</v>
      </c>
      <c r="G28" s="45">
        <f>'C5C'!G220</f>
        <v>9458239.5954999998</v>
      </c>
      <c r="H28" s="45">
        <f>'C5C'!H220</f>
        <v>35416998.333333336</v>
      </c>
      <c r="I28" s="45">
        <f>'C5C'!I220</f>
        <v>-25958758.737833336</v>
      </c>
      <c r="J28" s="333">
        <f t="shared" si="3"/>
        <v>-0.73294632406501226</v>
      </c>
      <c r="K28" s="145">
        <f>'C5C'!K220</f>
        <v>85000796</v>
      </c>
      <c r="L28" s="706"/>
    </row>
    <row r="29" spans="1:12" ht="12.75" customHeight="1" x14ac:dyDescent="0.2">
      <c r="A29" s="410" t="str">
        <f>'Org structure'!A7</f>
        <v>Vote 6 - Public Safety</v>
      </c>
      <c r="B29" s="422"/>
      <c r="C29" s="135">
        <f>'C5C'!C231</f>
        <v>7522609.7239999995</v>
      </c>
      <c r="D29" s="259">
        <f>'C5C'!D231</f>
        <v>8639076</v>
      </c>
      <c r="E29" s="45">
        <f>'C5C'!E231</f>
        <v>8639076</v>
      </c>
      <c r="F29" s="45">
        <f>'C5C'!F231</f>
        <v>0</v>
      </c>
      <c r="G29" s="45">
        <f>'C5C'!G231</f>
        <v>180737.16250000001</v>
      </c>
      <c r="H29" s="45">
        <f>'C5C'!H231</f>
        <v>3599615</v>
      </c>
      <c r="I29" s="45">
        <f>'C5C'!I231</f>
        <v>-3418877.8374999999</v>
      </c>
      <c r="J29" s="333">
        <f t="shared" si="3"/>
        <v>-0.94978986294367584</v>
      </c>
      <c r="K29" s="145">
        <f>'C5C'!K231</f>
        <v>8639076</v>
      </c>
      <c r="L29" s="706"/>
    </row>
    <row r="30" spans="1:12" ht="12.75" customHeight="1" x14ac:dyDescent="0.2">
      <c r="A30" s="410" t="str">
        <f>'Org structure'!A8</f>
        <v>Vote 7 - Corporate  and Shared Services</v>
      </c>
      <c r="B30" s="422"/>
      <c r="C30" s="135">
        <f>'C5C'!C242</f>
        <v>56161480.259999841</v>
      </c>
      <c r="D30" s="259">
        <f>'C5C'!D242</f>
        <v>64268004</v>
      </c>
      <c r="E30" s="45">
        <f>'C5C'!E242</f>
        <v>55000008</v>
      </c>
      <c r="F30" s="45">
        <f>'C5C'!F242</f>
        <v>10228265.2205</v>
      </c>
      <c r="G30" s="45">
        <f>'C5C'!G242</f>
        <v>10228265.2205</v>
      </c>
      <c r="H30" s="45">
        <f>'C5C'!H242</f>
        <v>22916670</v>
      </c>
      <c r="I30" s="45">
        <f>'C5C'!I242</f>
        <v>-12688404.7795</v>
      </c>
      <c r="J30" s="333">
        <f t="shared" si="3"/>
        <v>-0.5536757643889797</v>
      </c>
      <c r="K30" s="145">
        <f>'C5C'!K242</f>
        <v>55000008</v>
      </c>
      <c r="L30" s="706"/>
    </row>
    <row r="31" spans="1:12" ht="12.75" customHeight="1" x14ac:dyDescent="0.2">
      <c r="A31" s="410" t="str">
        <f>'Org structure'!A9</f>
        <v>Vote 8 - Planning and Economic Development</v>
      </c>
      <c r="B31" s="422"/>
      <c r="C31" s="135">
        <f>'C5C'!C253</f>
        <v>19426325.331500001</v>
      </c>
      <c r="D31" s="259">
        <f>'C5C'!D253</f>
        <v>44884000</v>
      </c>
      <c r="E31" s="45">
        <f>'C5C'!E253</f>
        <v>40808008</v>
      </c>
      <c r="F31" s="45">
        <f>'C5C'!F253</f>
        <v>0</v>
      </c>
      <c r="G31" s="45">
        <f>'C5C'!G253</f>
        <v>825321.38400004595</v>
      </c>
      <c r="H31" s="45">
        <f>'C5C'!H253</f>
        <v>17003336.666666668</v>
      </c>
      <c r="I31" s="45">
        <f>'C5C'!I253</f>
        <v>-16178015.282666622</v>
      </c>
      <c r="J31" s="333">
        <f t="shared" si="3"/>
        <v>-0.95146121022128527</v>
      </c>
      <c r="K31" s="145">
        <f>'C5C'!K253</f>
        <v>40807992</v>
      </c>
      <c r="L31" s="706"/>
    </row>
    <row r="32" spans="1:12" ht="12.75" customHeight="1" x14ac:dyDescent="0.2">
      <c r="A32" s="410" t="str">
        <f>'Org structure'!A10</f>
        <v>Vote 9 - Budget and Treasury</v>
      </c>
      <c r="B32" s="422"/>
      <c r="C32" s="135">
        <f>'C5C'!C264</f>
        <v>51981524.6765</v>
      </c>
      <c r="D32" s="259">
        <f>'C5C'!D264</f>
        <v>6500000</v>
      </c>
      <c r="E32" s="45">
        <f>'C5C'!E264</f>
        <v>6500000</v>
      </c>
      <c r="F32" s="45">
        <f>'C5C'!F264</f>
        <v>377670.99400000001</v>
      </c>
      <c r="G32" s="45">
        <f>'C5C'!G264</f>
        <v>377670.99400000001</v>
      </c>
      <c r="H32" s="45">
        <f>'C5C'!H264</f>
        <v>2708333.333333333</v>
      </c>
      <c r="I32" s="45">
        <f>'C5C'!I264</f>
        <v>-2330662.3393333331</v>
      </c>
      <c r="J32" s="333">
        <f t="shared" si="3"/>
        <v>-0.86055224836923072</v>
      </c>
      <c r="K32" s="145">
        <f>'C5C'!K264</f>
        <v>6500000</v>
      </c>
      <c r="L32" s="706"/>
    </row>
    <row r="33" spans="1:12" ht="12.75" customHeight="1" x14ac:dyDescent="0.2">
      <c r="A33" s="410" t="str">
        <f>'Org structure'!A11</f>
        <v>Vote 10 - Transport Services</v>
      </c>
      <c r="B33" s="422"/>
      <c r="C33" s="135">
        <f>'C5C'!C275</f>
        <v>522612346.71286905</v>
      </c>
      <c r="D33" s="259">
        <f>'C5C'!D275</f>
        <v>681486000</v>
      </c>
      <c r="E33" s="45">
        <f>'C5C'!E275</f>
        <v>663311080</v>
      </c>
      <c r="F33" s="45">
        <f>'C5C'!F275</f>
        <v>19318652.890000001</v>
      </c>
      <c r="G33" s="45">
        <f>'C5C'!G275</f>
        <v>73436841.518999994</v>
      </c>
      <c r="H33" s="45">
        <f>'C5C'!H275</f>
        <v>276379616.66666669</v>
      </c>
      <c r="I33" s="45">
        <f>'C5C'!I275</f>
        <v>-202942775.14766669</v>
      </c>
      <c r="J33" s="333">
        <f t="shared" si="3"/>
        <v>-0.73428995088458349</v>
      </c>
      <c r="K33" s="145">
        <f>'C5C'!K275</f>
        <v>663311080</v>
      </c>
      <c r="L33" s="706"/>
    </row>
    <row r="34" spans="1:12" ht="12.75" customHeight="1" x14ac:dyDescent="0.2">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782</v>
      </c>
      <c r="B39" s="523">
        <v>4</v>
      </c>
      <c r="C39" s="262">
        <f t="shared" ref="C39:I39" si="4">SUM(C24:C38)</f>
        <v>1369152210.2073689</v>
      </c>
      <c r="D39" s="263">
        <f t="shared" si="4"/>
        <v>1889186000</v>
      </c>
      <c r="E39" s="162">
        <f t="shared" si="4"/>
        <v>1830632104</v>
      </c>
      <c r="F39" s="162">
        <f t="shared" si="4"/>
        <v>124247725.66700003</v>
      </c>
      <c r="G39" s="162">
        <f t="shared" si="4"/>
        <v>381153474.47200006</v>
      </c>
      <c r="H39" s="162">
        <f t="shared" si="4"/>
        <v>762763376.66666675</v>
      </c>
      <c r="I39" s="74">
        <f t="shared" si="4"/>
        <v>-381609902.19466674</v>
      </c>
      <c r="J39" s="334">
        <f t="shared" si="3"/>
        <v>-0.50029919352228303</v>
      </c>
      <c r="K39" s="264">
        <f>SUM(K24:K38)</f>
        <v>1830632080</v>
      </c>
      <c r="L39" s="101"/>
    </row>
    <row r="40" spans="1:12" ht="12.75" customHeight="1" x14ac:dyDescent="0.2">
      <c r="A40" s="93" t="s">
        <v>783</v>
      </c>
      <c r="B40" s="425"/>
      <c r="C40" s="244">
        <f t="shared" ref="C40:I40" si="5">C39+C21</f>
        <v>1369152210.2073689</v>
      </c>
      <c r="D40" s="261">
        <f t="shared" si="5"/>
        <v>1889186000</v>
      </c>
      <c r="E40" s="74">
        <f t="shared" si="5"/>
        <v>1830632104</v>
      </c>
      <c r="F40" s="74">
        <f t="shared" si="5"/>
        <v>124247725.66700003</v>
      </c>
      <c r="G40" s="74">
        <f t="shared" si="5"/>
        <v>381153474.47200006</v>
      </c>
      <c r="H40" s="74">
        <f t="shared" si="5"/>
        <v>762763376.66666675</v>
      </c>
      <c r="I40" s="74">
        <f t="shared" si="5"/>
        <v>-381609902.19466674</v>
      </c>
      <c r="J40" s="334">
        <f>IF(I40=0,"",I40/H40)</f>
        <v>-0.50029919352228303</v>
      </c>
      <c r="K40" s="146">
        <f>K39+K21</f>
        <v>1830632080</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1251</v>
      </c>
      <c r="B42" s="422"/>
      <c r="C42" s="135"/>
      <c r="D42" s="259"/>
      <c r="E42" s="45"/>
      <c r="F42" s="45"/>
      <c r="G42" s="45"/>
      <c r="H42" s="45"/>
      <c r="I42" s="45"/>
      <c r="J42" s="333"/>
      <c r="K42" s="145"/>
      <c r="L42" s="101"/>
    </row>
    <row r="43" spans="1:12" ht="12.75" customHeight="1" x14ac:dyDescent="0.2">
      <c r="A43" s="417" t="s">
        <v>144</v>
      </c>
      <c r="B43" s="424"/>
      <c r="C43" s="650">
        <f t="shared" ref="C43:H43" si="6">SUM(C44:C46)</f>
        <v>116232197.4755</v>
      </c>
      <c r="D43" s="678">
        <f t="shared" si="6"/>
        <v>104275100</v>
      </c>
      <c r="E43" s="646">
        <f t="shared" si="6"/>
        <v>95007108</v>
      </c>
      <c r="F43" s="646">
        <f t="shared" si="6"/>
        <v>10605936.214500001</v>
      </c>
      <c r="G43" s="646">
        <f t="shared" si="6"/>
        <v>10605936.214500001</v>
      </c>
      <c r="H43" s="646">
        <f t="shared" si="6"/>
        <v>39586295</v>
      </c>
      <c r="I43" s="45">
        <f t="shared" ref="I43:I62" si="7">G43-H43</f>
        <v>-28980358.785499997</v>
      </c>
      <c r="J43" s="333">
        <f>IF(I43=0,"",I43/H43)</f>
        <v>-0.73208060480274795</v>
      </c>
      <c r="K43" s="650">
        <f>SUM(K44:K46)</f>
        <v>95007108</v>
      </c>
      <c r="L43" s="101"/>
    </row>
    <row r="44" spans="1:12" ht="12.75" customHeight="1" x14ac:dyDescent="0.2">
      <c r="A44" s="419" t="s">
        <v>112</v>
      </c>
      <c r="B44" s="422"/>
      <c r="C44" s="745">
        <v>0</v>
      </c>
      <c r="D44" s="763">
        <v>0</v>
      </c>
      <c r="E44" s="743">
        <v>0</v>
      </c>
      <c r="F44" s="743">
        <v>0</v>
      </c>
      <c r="G44" s="743">
        <v>0</v>
      </c>
      <c r="H44" s="743">
        <v>0</v>
      </c>
      <c r="I44" s="45">
        <f t="shared" si="7"/>
        <v>0</v>
      </c>
      <c r="J44" s="333" t="str">
        <f t="shared" ref="J44:J63" si="8">IF(I44=0,"",I44/H44)</f>
        <v/>
      </c>
      <c r="K44" s="745">
        <f t="shared" ref="K44:K46" si="9">D44</f>
        <v>0</v>
      </c>
      <c r="L44" s="101"/>
    </row>
    <row r="45" spans="1:12" ht="12.75" customHeight="1" x14ac:dyDescent="0.2">
      <c r="A45" s="419" t="s">
        <v>1159</v>
      </c>
      <c r="B45" s="422"/>
      <c r="C45" s="764">
        <v>116232197.4755</v>
      </c>
      <c r="D45" s="765">
        <v>104275100</v>
      </c>
      <c r="E45" s="766">
        <v>95007108</v>
      </c>
      <c r="F45" s="743">
        <v>10605936.214500001</v>
      </c>
      <c r="G45" s="743">
        <v>10605936.214500001</v>
      </c>
      <c r="H45" s="743">
        <f>E45/12*5</f>
        <v>39586295</v>
      </c>
      <c r="I45" s="45">
        <f t="shared" si="7"/>
        <v>-28980358.785499997</v>
      </c>
      <c r="J45" s="333">
        <f t="shared" si="8"/>
        <v>-0.73208060480274795</v>
      </c>
      <c r="K45" s="745">
        <v>95007108</v>
      </c>
      <c r="L45" s="101"/>
    </row>
    <row r="46" spans="1:12" ht="12.75" customHeight="1" x14ac:dyDescent="0.2">
      <c r="A46" s="419" t="s">
        <v>1171</v>
      </c>
      <c r="B46" s="422"/>
      <c r="C46" s="745">
        <v>0</v>
      </c>
      <c r="D46" s="763">
        <v>0</v>
      </c>
      <c r="E46" s="743">
        <v>0</v>
      </c>
      <c r="F46" s="743">
        <v>0</v>
      </c>
      <c r="G46" s="743">
        <v>0</v>
      </c>
      <c r="H46" s="743">
        <v>0</v>
      </c>
      <c r="I46" s="45">
        <f t="shared" si="7"/>
        <v>0</v>
      </c>
      <c r="J46" s="333" t="str">
        <f t="shared" si="8"/>
        <v/>
      </c>
      <c r="K46" s="745">
        <f t="shared" si="9"/>
        <v>0</v>
      </c>
      <c r="L46" s="101"/>
    </row>
    <row r="47" spans="1:12" ht="12.75" customHeight="1" x14ac:dyDescent="0.2">
      <c r="A47" s="417" t="s">
        <v>113</v>
      </c>
      <c r="B47" s="422"/>
      <c r="C47" s="650">
        <f t="shared" ref="C47:H47" si="10">SUM(C48:C52)</f>
        <v>24815286.626499999</v>
      </c>
      <c r="D47" s="678">
        <f t="shared" si="10"/>
        <v>79859150</v>
      </c>
      <c r="E47" s="646">
        <f t="shared" si="10"/>
        <v>77689128</v>
      </c>
      <c r="F47" s="646">
        <f t="shared" si="10"/>
        <v>6666564.8810000001</v>
      </c>
      <c r="G47" s="646">
        <f t="shared" si="10"/>
        <v>8665056.8330001235</v>
      </c>
      <c r="H47" s="646">
        <f t="shared" si="10"/>
        <v>32370470</v>
      </c>
      <c r="I47" s="45">
        <f t="shared" si="7"/>
        <v>-23705413.166999876</v>
      </c>
      <c r="J47" s="333">
        <f t="shared" si="8"/>
        <v>-0.73231600180658096</v>
      </c>
      <c r="K47" s="650">
        <f>SUM(K48:K52)</f>
        <v>77689128</v>
      </c>
      <c r="L47" s="101"/>
    </row>
    <row r="48" spans="1:12" ht="12.75" customHeight="1" x14ac:dyDescent="0.2">
      <c r="A48" s="419" t="s">
        <v>114</v>
      </c>
      <c r="B48" s="422"/>
      <c r="C48" s="745">
        <v>12122593.796500001</v>
      </c>
      <c r="D48" s="763">
        <v>10379150</v>
      </c>
      <c r="E48" s="743">
        <v>8209140</v>
      </c>
      <c r="F48" s="967">
        <v>2947729.3810000001</v>
      </c>
      <c r="G48" s="743">
        <v>4186054.6005001245</v>
      </c>
      <c r="H48" s="743">
        <f t="shared" ref="H48:H52" si="11">E48/12*5</f>
        <v>3420475</v>
      </c>
      <c r="I48" s="45">
        <f t="shared" si="7"/>
        <v>765579.60050012451</v>
      </c>
      <c r="J48" s="333">
        <f t="shared" si="8"/>
        <v>0.22382259788483311</v>
      </c>
      <c r="K48" s="745">
        <v>8209140</v>
      </c>
      <c r="L48" s="101"/>
    </row>
    <row r="49" spans="1:12" ht="12.75" customHeight="1" x14ac:dyDescent="0.2">
      <c r="A49" s="419" t="s">
        <v>115</v>
      </c>
      <c r="B49" s="422"/>
      <c r="C49" s="745">
        <v>12692692.829999998</v>
      </c>
      <c r="D49" s="763">
        <v>69480000</v>
      </c>
      <c r="E49" s="743">
        <v>69479988</v>
      </c>
      <c r="F49" s="967">
        <v>3718835.5</v>
      </c>
      <c r="G49" s="743">
        <v>4479002.2324999999</v>
      </c>
      <c r="H49" s="966">
        <f t="shared" si="11"/>
        <v>28949995</v>
      </c>
      <c r="I49" s="45">
        <f t="shared" si="7"/>
        <v>-24470992.767499998</v>
      </c>
      <c r="J49" s="333">
        <f t="shared" si="8"/>
        <v>-0.84528487025645427</v>
      </c>
      <c r="K49" s="745">
        <v>69479988</v>
      </c>
      <c r="L49" s="101"/>
    </row>
    <row r="50" spans="1:12" ht="12.75" customHeight="1" x14ac:dyDescent="0.2">
      <c r="A50" s="419" t="s">
        <v>116</v>
      </c>
      <c r="B50" s="422"/>
      <c r="C50" s="745">
        <v>0</v>
      </c>
      <c r="D50" s="763">
        <v>0</v>
      </c>
      <c r="E50" s="743">
        <v>0</v>
      </c>
      <c r="F50" s="967">
        <v>0</v>
      </c>
      <c r="G50" s="743">
        <v>0</v>
      </c>
      <c r="H50" s="743">
        <f t="shared" si="11"/>
        <v>0</v>
      </c>
      <c r="I50" s="45">
        <f t="shared" si="7"/>
        <v>0</v>
      </c>
      <c r="J50" s="333" t="str">
        <f t="shared" si="8"/>
        <v/>
      </c>
      <c r="K50" s="745">
        <v>0</v>
      </c>
      <c r="L50" s="101"/>
    </row>
    <row r="51" spans="1:12" ht="12.75" customHeight="1" x14ac:dyDescent="0.2">
      <c r="A51" s="419" t="s">
        <v>733</v>
      </c>
      <c r="B51" s="422"/>
      <c r="C51" s="745">
        <v>0</v>
      </c>
      <c r="D51" s="763">
        <v>0</v>
      </c>
      <c r="E51" s="743">
        <v>0</v>
      </c>
      <c r="F51" s="967">
        <v>0</v>
      </c>
      <c r="G51" s="743">
        <v>0</v>
      </c>
      <c r="H51" s="743">
        <f t="shared" si="11"/>
        <v>0</v>
      </c>
      <c r="I51" s="45">
        <f t="shared" si="7"/>
        <v>0</v>
      </c>
      <c r="J51" s="333" t="str">
        <f t="shared" si="8"/>
        <v/>
      </c>
      <c r="K51" s="745">
        <f t="shared" ref="K51:K52" si="12">D51</f>
        <v>0</v>
      </c>
      <c r="L51" s="101"/>
    </row>
    <row r="52" spans="1:12" ht="12.75" customHeight="1" x14ac:dyDescent="0.2">
      <c r="A52" s="419" t="s">
        <v>630</v>
      </c>
      <c r="B52" s="422"/>
      <c r="C52" s="764">
        <v>0</v>
      </c>
      <c r="D52" s="765">
        <v>0</v>
      </c>
      <c r="E52" s="766">
        <v>0</v>
      </c>
      <c r="F52" s="967">
        <v>0</v>
      </c>
      <c r="G52" s="966">
        <v>0</v>
      </c>
      <c r="H52" s="743">
        <f t="shared" si="11"/>
        <v>0</v>
      </c>
      <c r="I52" s="45">
        <f t="shared" si="7"/>
        <v>0</v>
      </c>
      <c r="J52" s="333" t="str">
        <f t="shared" si="8"/>
        <v/>
      </c>
      <c r="K52" s="745">
        <f t="shared" si="12"/>
        <v>0</v>
      </c>
      <c r="L52" s="101"/>
    </row>
    <row r="53" spans="1:12" ht="12.75" customHeight="1" x14ac:dyDescent="0.2">
      <c r="A53" s="417" t="s">
        <v>117</v>
      </c>
      <c r="B53" s="422"/>
      <c r="C53" s="650">
        <f t="shared" ref="C53:H53" si="13">SUM(C54:C56)</f>
        <v>542038672.0443691</v>
      </c>
      <c r="D53" s="678">
        <f t="shared" si="13"/>
        <v>698775250</v>
      </c>
      <c r="E53" s="646">
        <f t="shared" si="13"/>
        <v>676524332</v>
      </c>
      <c r="F53" s="646">
        <f t="shared" si="13"/>
        <v>19318652.890000001</v>
      </c>
      <c r="G53" s="646">
        <f t="shared" si="13"/>
        <v>73704574.847499996</v>
      </c>
      <c r="H53" s="646">
        <f t="shared" si="13"/>
        <v>281885138.33333337</v>
      </c>
      <c r="I53" s="45">
        <f t="shared" si="7"/>
        <v>-208180563.48583338</v>
      </c>
      <c r="J53" s="333">
        <f t="shared" si="8"/>
        <v>-0.73852975973375634</v>
      </c>
      <c r="K53" s="650">
        <f>SUM(K54:K56)</f>
        <v>676524332</v>
      </c>
      <c r="L53" s="101"/>
    </row>
    <row r="54" spans="1:12" ht="12.75" customHeight="1" x14ac:dyDescent="0.2">
      <c r="A54" s="419" t="s">
        <v>118</v>
      </c>
      <c r="B54" s="422"/>
      <c r="C54" s="745">
        <v>19426325.331500001</v>
      </c>
      <c r="D54" s="763">
        <v>14838500</v>
      </c>
      <c r="E54" s="743">
        <v>10762504</v>
      </c>
      <c r="F54" s="743"/>
      <c r="G54" s="743">
        <f>F54+267733.3285</f>
        <v>267733.3285</v>
      </c>
      <c r="H54" s="743">
        <f t="shared" ref="H54:H56" si="14">E54/12*5</f>
        <v>4484376.666666667</v>
      </c>
      <c r="I54" s="45">
        <f t="shared" si="7"/>
        <v>-4216643.3381666671</v>
      </c>
      <c r="J54" s="333">
        <f t="shared" si="8"/>
        <v>-0.9402964228027233</v>
      </c>
      <c r="K54" s="745">
        <v>10762504</v>
      </c>
      <c r="L54" s="101"/>
    </row>
    <row r="55" spans="1:12" ht="12.75" customHeight="1" x14ac:dyDescent="0.2">
      <c r="A55" s="419" t="s">
        <v>119</v>
      </c>
      <c r="B55" s="422"/>
      <c r="C55" s="745">
        <v>522612346.71286905</v>
      </c>
      <c r="D55" s="763">
        <v>683936750</v>
      </c>
      <c r="E55" s="743">
        <v>665761828</v>
      </c>
      <c r="F55" s="743">
        <v>19318652.890000001</v>
      </c>
      <c r="G55" s="743">
        <v>73436841.518999994</v>
      </c>
      <c r="H55" s="966">
        <f t="shared" si="14"/>
        <v>277400761.66666669</v>
      </c>
      <c r="I55" s="45">
        <f t="shared" si="7"/>
        <v>-203963920.14766669</v>
      </c>
      <c r="J55" s="333">
        <f t="shared" si="8"/>
        <v>-0.73526806098952258</v>
      </c>
      <c r="K55" s="745">
        <v>665761828</v>
      </c>
      <c r="L55" s="101"/>
    </row>
    <row r="56" spans="1:12" ht="12.75" customHeight="1" x14ac:dyDescent="0.2">
      <c r="A56" s="419" t="s">
        <v>120</v>
      </c>
      <c r="B56" s="422"/>
      <c r="C56" s="745"/>
      <c r="D56" s="763">
        <v>0</v>
      </c>
      <c r="E56" s="743">
        <v>0</v>
      </c>
      <c r="F56" s="743">
        <v>0</v>
      </c>
      <c r="G56" s="743">
        <v>0</v>
      </c>
      <c r="H56" s="743">
        <f t="shared" si="14"/>
        <v>0</v>
      </c>
      <c r="I56" s="45">
        <f t="shared" si="7"/>
        <v>0</v>
      </c>
      <c r="J56" s="333" t="str">
        <f t="shared" si="8"/>
        <v/>
      </c>
      <c r="K56" s="745">
        <f t="shared" ref="K56" si="15">D56</f>
        <v>0</v>
      </c>
      <c r="L56" s="101"/>
    </row>
    <row r="57" spans="1:12" ht="12.75" customHeight="1" x14ac:dyDescent="0.2">
      <c r="A57" s="417" t="s">
        <v>121</v>
      </c>
      <c r="B57" s="422"/>
      <c r="C57" s="650">
        <f t="shared" ref="C57:H57" si="16">SUM(C58:C61)</f>
        <v>686066054.06099987</v>
      </c>
      <c r="D57" s="678">
        <f t="shared" si="16"/>
        <v>1006276500</v>
      </c>
      <c r="E57" s="646">
        <f t="shared" si="16"/>
        <v>981411544</v>
      </c>
      <c r="F57" s="646">
        <f t="shared" si="16"/>
        <v>87656571.681499988</v>
      </c>
      <c r="G57" s="646">
        <f t="shared" si="16"/>
        <v>288177906.57699996</v>
      </c>
      <c r="H57" s="646">
        <f t="shared" si="16"/>
        <v>408921476.66666663</v>
      </c>
      <c r="I57" s="45">
        <f t="shared" si="7"/>
        <v>-120743570.08966666</v>
      </c>
      <c r="J57" s="333">
        <f t="shared" si="8"/>
        <v>-0.2952732418798612</v>
      </c>
      <c r="K57" s="650">
        <f>SUM(K58:K61)</f>
        <v>981411544</v>
      </c>
      <c r="L57" s="101"/>
    </row>
    <row r="58" spans="1:12" ht="12.75" customHeight="1" x14ac:dyDescent="0.2">
      <c r="A58" s="419" t="s">
        <v>1228</v>
      </c>
      <c r="B58" s="422"/>
      <c r="C58" s="745">
        <v>37743513.567000002</v>
      </c>
      <c r="D58" s="763">
        <v>62247500</v>
      </c>
      <c r="E58" s="743">
        <v>62247496</v>
      </c>
      <c r="F58" s="743">
        <v>4136950.7749999999</v>
      </c>
      <c r="G58" s="743">
        <v>8961735.3870000001</v>
      </c>
      <c r="H58" s="966">
        <f t="shared" ref="H58:H62" si="17">E58/12*5</f>
        <v>25936456.666666664</v>
      </c>
      <c r="I58" s="45">
        <f t="shared" si="7"/>
        <v>-16974721.279666662</v>
      </c>
      <c r="J58" s="333">
        <f t="shared" si="8"/>
        <v>-0.65447341160839612</v>
      </c>
      <c r="K58" s="745">
        <v>62247496</v>
      </c>
      <c r="L58" s="101"/>
    </row>
    <row r="59" spans="1:12" ht="12.75" customHeight="1" x14ac:dyDescent="0.2">
      <c r="A59" s="419" t="s">
        <v>1232</v>
      </c>
      <c r="B59" s="422"/>
      <c r="C59" s="745">
        <v>398996163.2755</v>
      </c>
      <c r="D59" s="763">
        <v>416702973</v>
      </c>
      <c r="E59" s="743">
        <v>-109609664</v>
      </c>
      <c r="F59" s="743">
        <v>22087272.841499999</v>
      </c>
      <c r="G59" s="743">
        <v>81441234.565999985</v>
      </c>
      <c r="H59" s="966">
        <f t="shared" si="17"/>
        <v>-45670693.333333328</v>
      </c>
      <c r="I59" s="45">
        <f t="shared" si="7"/>
        <v>127111927.89933331</v>
      </c>
      <c r="J59" s="333">
        <f t="shared" si="8"/>
        <v>-2.7832274621186683</v>
      </c>
      <c r="K59" s="745">
        <v>-109609664</v>
      </c>
      <c r="L59" s="101"/>
    </row>
    <row r="60" spans="1:12" ht="12.75" customHeight="1" x14ac:dyDescent="0.2">
      <c r="A60" s="419" t="s">
        <v>122</v>
      </c>
      <c r="B60" s="422"/>
      <c r="C60" s="764">
        <v>238037169.75749999</v>
      </c>
      <c r="D60" s="765">
        <v>507947627</v>
      </c>
      <c r="E60" s="766">
        <v>1015895304</v>
      </c>
      <c r="F60" s="743">
        <v>61261614.833000004</v>
      </c>
      <c r="G60" s="766">
        <v>195743428.64199999</v>
      </c>
      <c r="H60" s="966">
        <f t="shared" si="17"/>
        <v>423289710</v>
      </c>
      <c r="I60" s="45">
        <f t="shared" si="7"/>
        <v>-227546281.35800001</v>
      </c>
      <c r="J60" s="333">
        <f t="shared" si="8"/>
        <v>-0.53756629557094604</v>
      </c>
      <c r="K60" s="745">
        <v>1015895304</v>
      </c>
      <c r="L60" s="101"/>
    </row>
    <row r="61" spans="1:12" ht="12.75" customHeight="1" x14ac:dyDescent="0.2">
      <c r="A61" s="419" t="s">
        <v>123</v>
      </c>
      <c r="B61" s="422"/>
      <c r="C61" s="745">
        <v>11289207.461000001</v>
      </c>
      <c r="D61" s="763">
        <v>19378400</v>
      </c>
      <c r="E61" s="743">
        <v>12878408</v>
      </c>
      <c r="F61" s="743">
        <v>170733.23199999999</v>
      </c>
      <c r="G61" s="743">
        <v>2031507.9820000001</v>
      </c>
      <c r="H61" s="966">
        <f t="shared" si="17"/>
        <v>5366003.333333334</v>
      </c>
      <c r="I61" s="45">
        <f t="shared" si="7"/>
        <v>-3334495.3513333341</v>
      </c>
      <c r="J61" s="333">
        <f t="shared" si="8"/>
        <v>-0.62141134550171118</v>
      </c>
      <c r="K61" s="745">
        <v>12878408</v>
      </c>
      <c r="L61" s="101"/>
    </row>
    <row r="62" spans="1:12" ht="12.75" customHeight="1" x14ac:dyDescent="0.2">
      <c r="A62" s="417" t="s">
        <v>740</v>
      </c>
      <c r="B62" s="422"/>
      <c r="C62" s="745">
        <v>0</v>
      </c>
      <c r="D62" s="763">
        <v>0</v>
      </c>
      <c r="E62" s="743">
        <v>0</v>
      </c>
      <c r="F62" s="743">
        <v>0</v>
      </c>
      <c r="G62" s="743">
        <v>0</v>
      </c>
      <c r="H62" s="743">
        <f t="shared" si="17"/>
        <v>0</v>
      </c>
      <c r="I62" s="45">
        <f t="shared" si="7"/>
        <v>0</v>
      </c>
      <c r="J62" s="333" t="str">
        <f t="shared" si="8"/>
        <v/>
      </c>
      <c r="K62" s="745">
        <f t="shared" ref="K62" si="18">D62</f>
        <v>0</v>
      </c>
      <c r="L62" s="101"/>
    </row>
    <row r="63" spans="1:12" ht="12.75" customHeight="1" x14ac:dyDescent="0.2">
      <c r="A63" s="540" t="s">
        <v>1250</v>
      </c>
      <c r="B63" s="543">
        <v>3</v>
      </c>
      <c r="C63" s="544">
        <f>C43+C47+C53+C57+C62</f>
        <v>1369152210.2073689</v>
      </c>
      <c r="D63" s="545">
        <f t="shared" ref="D63:I63" si="19">D43+D47+D53+D57+D62</f>
        <v>1889186000</v>
      </c>
      <c r="E63" s="481">
        <f t="shared" si="19"/>
        <v>1830632112</v>
      </c>
      <c r="F63" s="481">
        <f t="shared" si="19"/>
        <v>124247725.667</v>
      </c>
      <c r="G63" s="481">
        <f t="shared" si="19"/>
        <v>381153474.47200012</v>
      </c>
      <c r="H63" s="481">
        <f t="shared" si="19"/>
        <v>762763380</v>
      </c>
      <c r="I63" s="481">
        <f t="shared" si="19"/>
        <v>-381609905.52799988</v>
      </c>
      <c r="J63" s="546">
        <f t="shared" si="8"/>
        <v>-0.50029919570601289</v>
      </c>
      <c r="K63" s="547">
        <f>K43+K47+K53+K57+K62</f>
        <v>1830632112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483</v>
      </c>
      <c r="B65" s="170"/>
      <c r="C65" s="135"/>
      <c r="D65" s="259"/>
      <c r="E65" s="45"/>
      <c r="F65" s="45"/>
      <c r="G65" s="45"/>
      <c r="H65" s="45"/>
      <c r="I65" s="45"/>
      <c r="J65" s="333"/>
      <c r="K65" s="145"/>
      <c r="L65" s="101"/>
    </row>
    <row r="66" spans="1:12" ht="12.75" customHeight="1" x14ac:dyDescent="0.2">
      <c r="A66" s="108" t="s">
        <v>454</v>
      </c>
      <c r="B66" s="170"/>
      <c r="C66" s="758">
        <v>1070478839.6583691</v>
      </c>
      <c r="D66" s="763">
        <v>1267136000</v>
      </c>
      <c r="E66" s="743">
        <v>1267136000</v>
      </c>
      <c r="F66" s="743">
        <v>109172713.905</v>
      </c>
      <c r="G66" s="743">
        <v>344346411.41500002</v>
      </c>
      <c r="H66" s="743">
        <f t="shared" ref="H66:H69" si="20">E66/12*5</f>
        <v>527973333.33333337</v>
      </c>
      <c r="I66" s="45">
        <f t="shared" ref="I66:I74" si="21">G66-H66</f>
        <v>-183626921.91833335</v>
      </c>
      <c r="J66" s="333">
        <f t="shared" ref="J66:J74" si="22">IF(I66=0,"",I66/H66)</f>
        <v>-0.34779582665475528</v>
      </c>
      <c r="K66" s="745">
        <f t="shared" ref="K66:K69" si="23">D66</f>
        <v>1267136000</v>
      </c>
      <c r="L66" s="101"/>
    </row>
    <row r="67" spans="1:12" ht="12.75" customHeight="1" x14ac:dyDescent="0.2">
      <c r="A67" s="108" t="s">
        <v>623</v>
      </c>
      <c r="B67" s="170"/>
      <c r="C67" s="758">
        <v>0</v>
      </c>
      <c r="D67" s="763">
        <v>0</v>
      </c>
      <c r="E67" s="743">
        <v>0</v>
      </c>
      <c r="F67" s="743">
        <v>0</v>
      </c>
      <c r="G67" s="743">
        <v>0</v>
      </c>
      <c r="H67" s="743">
        <f t="shared" si="20"/>
        <v>0</v>
      </c>
      <c r="I67" s="45">
        <f t="shared" si="21"/>
        <v>0</v>
      </c>
      <c r="J67" s="333" t="str">
        <f t="shared" si="22"/>
        <v/>
      </c>
      <c r="K67" s="745">
        <f t="shared" si="23"/>
        <v>0</v>
      </c>
      <c r="L67" s="101"/>
    </row>
    <row r="68" spans="1:12" ht="12.75" customHeight="1" x14ac:dyDescent="0.2">
      <c r="A68" s="108" t="s">
        <v>624</v>
      </c>
      <c r="B68" s="170"/>
      <c r="C68" s="758">
        <v>0</v>
      </c>
      <c r="D68" s="763">
        <v>0</v>
      </c>
      <c r="E68" s="743">
        <v>0</v>
      </c>
      <c r="F68" s="743">
        <v>0</v>
      </c>
      <c r="G68" s="743">
        <v>0</v>
      </c>
      <c r="H68" s="743">
        <f t="shared" si="20"/>
        <v>0</v>
      </c>
      <c r="I68" s="45">
        <f t="shared" si="21"/>
        <v>0</v>
      </c>
      <c r="J68" s="333" t="str">
        <f t="shared" si="22"/>
        <v/>
      </c>
      <c r="K68" s="745">
        <f t="shared" si="23"/>
        <v>0</v>
      </c>
      <c r="L68" s="101"/>
    </row>
    <row r="69" spans="1:12" ht="12.75" customHeight="1" x14ac:dyDescent="0.2">
      <c r="A69" s="541" t="s">
        <v>72</v>
      </c>
      <c r="B69" s="249"/>
      <c r="C69" s="759">
        <v>0</v>
      </c>
      <c r="D69" s="763">
        <v>14000000</v>
      </c>
      <c r="E69" s="761">
        <v>14000000</v>
      </c>
      <c r="F69" s="761"/>
      <c r="G69" s="761">
        <v>386956.255</v>
      </c>
      <c r="H69" s="743">
        <f t="shared" si="20"/>
        <v>5833333.333333334</v>
      </c>
      <c r="I69" s="100">
        <f t="shared" si="21"/>
        <v>-5446377.0783333341</v>
      </c>
      <c r="J69" s="338">
        <f t="shared" si="22"/>
        <v>-0.93366464199999999</v>
      </c>
      <c r="K69" s="745">
        <f t="shared" si="23"/>
        <v>14000000</v>
      </c>
      <c r="L69" s="101"/>
    </row>
    <row r="70" spans="1:12" ht="12.75" customHeight="1" x14ac:dyDescent="0.2">
      <c r="A70" s="701" t="s">
        <v>989</v>
      </c>
      <c r="B70" s="170"/>
      <c r="C70" s="110">
        <f t="shared" ref="C70:H70" si="24">SUM(C66:C69)</f>
        <v>1070478839.6583691</v>
      </c>
      <c r="D70" s="260">
        <f t="shared" si="24"/>
        <v>1281136000</v>
      </c>
      <c r="E70" s="51">
        <f t="shared" si="24"/>
        <v>1281136000</v>
      </c>
      <c r="F70" s="51">
        <f t="shared" si="24"/>
        <v>109172713.905</v>
      </c>
      <c r="G70" s="51">
        <f t="shared" si="24"/>
        <v>344733367.67000002</v>
      </c>
      <c r="H70" s="51">
        <f t="shared" si="24"/>
        <v>533806666.66666669</v>
      </c>
      <c r="I70" s="51">
        <f t="shared" si="21"/>
        <v>-189073298.99666667</v>
      </c>
      <c r="J70" s="147">
        <f t="shared" si="22"/>
        <v>-0.35419808481847359</v>
      </c>
      <c r="K70" s="51">
        <f>SUM(K66:K69)</f>
        <v>1281136000</v>
      </c>
      <c r="L70" s="707"/>
    </row>
    <row r="71" spans="1:12" ht="12.75" customHeight="1" x14ac:dyDescent="0.2">
      <c r="A71" s="107" t="s">
        <v>490</v>
      </c>
      <c r="B71" s="170">
        <v>5</v>
      </c>
      <c r="C71" s="758">
        <v>0</v>
      </c>
      <c r="D71" s="763">
        <v>0</v>
      </c>
      <c r="E71" s="743">
        <v>0</v>
      </c>
      <c r="F71" s="743">
        <v>0</v>
      </c>
      <c r="G71" s="743">
        <v>0</v>
      </c>
      <c r="H71" s="743">
        <f t="shared" ref="H71:H73" si="25">E71/12*5</f>
        <v>0</v>
      </c>
      <c r="I71" s="45">
        <f t="shared" si="21"/>
        <v>0</v>
      </c>
      <c r="J71" s="333" t="str">
        <f t="shared" si="22"/>
        <v/>
      </c>
      <c r="K71" s="745">
        <f t="shared" ref="K71:K72" si="26">D71</f>
        <v>0</v>
      </c>
      <c r="L71" s="101"/>
    </row>
    <row r="72" spans="1:12" ht="12.75" customHeight="1" x14ac:dyDescent="0.2">
      <c r="A72" s="107" t="s">
        <v>801</v>
      </c>
      <c r="B72" s="170">
        <v>6</v>
      </c>
      <c r="C72" s="758">
        <v>6767425.7460000003</v>
      </c>
      <c r="D72" s="763">
        <v>380000000</v>
      </c>
      <c r="E72" s="743">
        <v>380000000</v>
      </c>
      <c r="F72" s="743">
        <v>0</v>
      </c>
      <c r="G72" s="743">
        <v>6913258.6835000003</v>
      </c>
      <c r="H72" s="743">
        <f t="shared" si="25"/>
        <v>158333333.33333334</v>
      </c>
      <c r="I72" s="45">
        <f t="shared" si="21"/>
        <v>-151420074.64983335</v>
      </c>
      <c r="J72" s="333">
        <f t="shared" si="22"/>
        <v>-0.95633731357789475</v>
      </c>
      <c r="K72" s="745">
        <f t="shared" si="26"/>
        <v>380000000</v>
      </c>
      <c r="L72" s="101"/>
    </row>
    <row r="73" spans="1:12" ht="12.75" customHeight="1" x14ac:dyDescent="0.2">
      <c r="A73" s="107" t="s">
        <v>484</v>
      </c>
      <c r="B73" s="249"/>
      <c r="C73" s="759">
        <v>291905944.80299997</v>
      </c>
      <c r="D73" s="767">
        <v>228050000</v>
      </c>
      <c r="E73" s="761">
        <v>169496004</v>
      </c>
      <c r="F73" s="761">
        <v>15075011.761999996</v>
      </c>
      <c r="G73" s="761">
        <v>29506848.119999997</v>
      </c>
      <c r="H73" s="743">
        <f t="shared" si="25"/>
        <v>70623335</v>
      </c>
      <c r="I73" s="100">
        <f t="shared" si="21"/>
        <v>-41116486.880000003</v>
      </c>
      <c r="J73" s="338">
        <f t="shared" si="22"/>
        <v>-0.58219407055755723</v>
      </c>
      <c r="K73" s="745">
        <v>169496004</v>
      </c>
      <c r="L73" s="101"/>
    </row>
    <row r="74" spans="1:12" ht="12.75" customHeight="1" x14ac:dyDescent="0.2">
      <c r="A74" s="542" t="s">
        <v>921</v>
      </c>
      <c r="B74" s="120"/>
      <c r="C74" s="245">
        <f t="shared" ref="C74:K74" si="27">SUM(C70:C73)</f>
        <v>1369152210.2073691</v>
      </c>
      <c r="D74" s="266">
        <f t="shared" si="27"/>
        <v>1889186000</v>
      </c>
      <c r="E74" s="77">
        <f t="shared" si="27"/>
        <v>1830632004</v>
      </c>
      <c r="F74" s="77">
        <f>SUM(F70:F73)</f>
        <v>124247725.667</v>
      </c>
      <c r="G74" s="77">
        <f>SUM(G70:G73)</f>
        <v>381153474.47350001</v>
      </c>
      <c r="H74" s="77">
        <f>SUM(H70:H73)</f>
        <v>762763335</v>
      </c>
      <c r="I74" s="77">
        <f t="shared" si="21"/>
        <v>-381609860.52649999</v>
      </c>
      <c r="J74" s="336">
        <f t="shared" si="22"/>
        <v>-0.50029916622368853</v>
      </c>
      <c r="K74" s="235">
        <f t="shared" si="27"/>
        <v>1830632004</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151</v>
      </c>
      <c r="B76" s="65"/>
      <c r="C76" s="80"/>
      <c r="D76" s="80"/>
      <c r="E76" s="80"/>
      <c r="F76" s="80"/>
      <c r="G76" s="80"/>
      <c r="H76" s="80"/>
      <c r="I76" s="80"/>
      <c r="J76" s="80"/>
      <c r="K76" s="80"/>
    </row>
    <row r="77" spans="1:12" ht="12" customHeight="1" x14ac:dyDescent="0.2">
      <c r="A77" s="1043" t="s">
        <v>149</v>
      </c>
      <c r="B77" s="1043"/>
      <c r="C77" s="1043"/>
      <c r="D77" s="1043"/>
      <c r="E77" s="1043"/>
      <c r="F77" s="1043"/>
      <c r="G77" s="1043"/>
      <c r="H77" s="1043"/>
      <c r="I77" s="1043"/>
      <c r="J77" s="1043"/>
      <c r="K77" s="1043"/>
    </row>
    <row r="78" spans="1:12" ht="12" customHeight="1" x14ac:dyDescent="0.2">
      <c r="A78" s="1043" t="s">
        <v>1252</v>
      </c>
      <c r="B78" s="1043"/>
      <c r="C78" s="1043"/>
      <c r="D78" s="1043"/>
      <c r="E78" s="1043"/>
      <c r="F78" s="1043"/>
      <c r="G78" s="1043"/>
      <c r="H78" s="1043"/>
      <c r="I78" s="1043"/>
      <c r="J78" s="1043"/>
      <c r="K78" s="1043"/>
    </row>
    <row r="79" spans="1:12" ht="12" customHeight="1" x14ac:dyDescent="0.2">
      <c r="A79" s="1044" t="s">
        <v>538</v>
      </c>
      <c r="B79" s="1043"/>
      <c r="C79" s="1043"/>
      <c r="D79" s="1043"/>
      <c r="E79" s="1043"/>
      <c r="F79" s="1043"/>
      <c r="G79" s="1043"/>
      <c r="H79" s="1043"/>
      <c r="I79" s="1043"/>
      <c r="J79" s="1043"/>
      <c r="K79" s="1043"/>
    </row>
    <row r="80" spans="1:12" ht="12" customHeight="1" x14ac:dyDescent="0.2">
      <c r="A80" s="593" t="s">
        <v>150</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742</v>
      </c>
      <c r="B86" s="65"/>
      <c r="C86" s="702">
        <f>C40-C74</f>
        <v>0</v>
      </c>
      <c r="D86" s="702">
        <f t="shared" ref="D86:K86" si="28">D40-D74</f>
        <v>0</v>
      </c>
      <c r="E86" s="702">
        <f t="shared" si="28"/>
        <v>100</v>
      </c>
      <c r="F86" s="702">
        <f t="shared" si="28"/>
        <v>0</v>
      </c>
      <c r="G86" s="702">
        <f t="shared" si="28"/>
        <v>-1.4999508857727051E-3</v>
      </c>
      <c r="H86" s="702">
        <f t="shared" si="28"/>
        <v>41.666666746139526</v>
      </c>
      <c r="I86" s="702"/>
      <c r="J86" s="702"/>
      <c r="K86" s="702">
        <f t="shared" si="28"/>
        <v>76</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9" type="noConversion"/>
  <printOptions horizontalCentered="1"/>
  <pageMargins left="0.35433070866141736" right="0.15748031496062992" top="0.78740157480314965" bottom="0.59055118110236227" header="0.51181102362204722" footer="0.51181102362204722"/>
  <pageSetup paperSize="9" scale="76"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258" activePane="bottomRight" state="frozen"/>
      <selection pane="topRight"/>
      <selection pane="bottomLeft"/>
      <selection pane="bottomRight" activeCell="Y364" sqref="Y364"/>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33" t="str">
        <f>muni&amp; " - "&amp;S71D&amp; " - "&amp;"A"&amp; " - "&amp;date</f>
        <v>LIM354 Polokwane - Table C5 Monthly Budget Statement - Capital Expenditure (municipal vote, functional classification and funding) - A - M05 November</v>
      </c>
      <c r="B1" s="1033"/>
      <c r="C1" s="1033"/>
      <c r="D1" s="1033"/>
      <c r="E1" s="1033"/>
      <c r="F1" s="1033"/>
      <c r="G1" s="1033"/>
      <c r="H1" s="1033"/>
      <c r="I1" s="1033"/>
      <c r="J1" s="1033"/>
      <c r="K1" s="1033"/>
    </row>
    <row r="2" spans="1:23" ht="28.5" customHeight="1" x14ac:dyDescent="0.25">
      <c r="A2" s="438" t="str">
        <f>Vdesc</f>
        <v>Vote Description</v>
      </c>
      <c r="B2" s="439" t="str">
        <f>head27</f>
        <v>Ref</v>
      </c>
      <c r="C2" s="143" t="str">
        <f>Head1</f>
        <v>2018/19</v>
      </c>
      <c r="D2" s="1026" t="str">
        <f>Head2</f>
        <v>Budget Year 2019/20</v>
      </c>
      <c r="E2" s="1027"/>
      <c r="F2" s="1027"/>
      <c r="G2" s="1027"/>
      <c r="H2" s="1027"/>
      <c r="I2" s="1027"/>
      <c r="J2" s="1027"/>
      <c r="K2" s="1028"/>
      <c r="L2" s="1037" t="e">
        <f>Head4</f>
        <v>#REF!</v>
      </c>
      <c r="M2" s="1038"/>
      <c r="N2" s="1038"/>
      <c r="O2" s="1038"/>
      <c r="P2" s="1038"/>
      <c r="Q2" s="1038"/>
      <c r="R2" s="1038"/>
      <c r="S2" s="1038"/>
      <c r="T2" s="1038"/>
      <c r="U2" s="1038"/>
      <c r="V2" s="1038"/>
      <c r="W2" s="1039"/>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Chef Operations Office (administration)</v>
      </c>
      <c r="B8" s="448"/>
      <c r="C8" s="749"/>
      <c r="D8" s="750">
        <v>0</v>
      </c>
      <c r="E8" s="751">
        <v>0</v>
      </c>
      <c r="F8" s="752">
        <v>0</v>
      </c>
      <c r="G8" s="751">
        <v>0</v>
      </c>
      <c r="H8" s="752">
        <v>0</v>
      </c>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Legislative support</v>
      </c>
      <c r="B9" s="448"/>
      <c r="C9" s="749"/>
      <c r="D9" s="750">
        <v>0</v>
      </c>
      <c r="E9" s="751">
        <v>0</v>
      </c>
      <c r="F9" s="752">
        <v>0</v>
      </c>
      <c r="G9" s="751">
        <v>0</v>
      </c>
      <c r="H9" s="752">
        <v>0</v>
      </c>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Legal Services</v>
      </c>
      <c r="B10" s="448"/>
      <c r="C10" s="749"/>
      <c r="D10" s="750">
        <v>0</v>
      </c>
      <c r="E10" s="751">
        <v>0</v>
      </c>
      <c r="F10" s="752">
        <v>0</v>
      </c>
      <c r="G10" s="751">
        <v>0</v>
      </c>
      <c r="H10" s="752">
        <v>0</v>
      </c>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IDP</v>
      </c>
      <c r="B11" s="448"/>
      <c r="C11" s="749"/>
      <c r="D11" s="750">
        <v>0</v>
      </c>
      <c r="E11" s="751">
        <v>0</v>
      </c>
      <c r="F11" s="752">
        <v>0</v>
      </c>
      <c r="G11" s="751">
        <v>0</v>
      </c>
      <c r="H11" s="752">
        <v>0</v>
      </c>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t="str">
        <f>'Org structure'!E7</f>
        <v>1.5 - Communications and Marketing</v>
      </c>
      <c r="B12" s="448"/>
      <c r="C12" s="749"/>
      <c r="D12" s="750">
        <v>0</v>
      </c>
      <c r="E12" s="751">
        <v>0</v>
      </c>
      <c r="F12" s="752">
        <v>0</v>
      </c>
      <c r="G12" s="751">
        <v>0</v>
      </c>
      <c r="H12" s="752">
        <v>0</v>
      </c>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t="str">
        <f>'Org structure'!E8</f>
        <v>1.6 - Project Management Unit</v>
      </c>
      <c r="B13" s="448"/>
      <c r="C13" s="749"/>
      <c r="D13" s="750">
        <v>0</v>
      </c>
      <c r="E13" s="751">
        <v>0</v>
      </c>
      <c r="F13" s="752">
        <v>0</v>
      </c>
      <c r="G13" s="751">
        <v>0</v>
      </c>
      <c r="H13" s="752">
        <v>0</v>
      </c>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t="str">
        <f>'Org structure'!E9</f>
        <v>1.7 - Performance Management</v>
      </c>
      <c r="B14" s="448"/>
      <c r="C14" s="749"/>
      <c r="D14" s="750">
        <v>0</v>
      </c>
      <c r="E14" s="751">
        <v>0</v>
      </c>
      <c r="F14" s="752">
        <v>0</v>
      </c>
      <c r="G14" s="751">
        <v>0</v>
      </c>
      <c r="H14" s="752">
        <v>0</v>
      </c>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t="str">
        <f>'Org structure'!E10</f>
        <v>1.8 - Cluster Offices</v>
      </c>
      <c r="B15" s="448"/>
      <c r="C15" s="749"/>
      <c r="D15" s="750">
        <v>0</v>
      </c>
      <c r="E15" s="751">
        <v>0</v>
      </c>
      <c r="F15" s="752">
        <v>0</v>
      </c>
      <c r="G15" s="751">
        <v>0</v>
      </c>
      <c r="H15" s="752">
        <v>0</v>
      </c>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t="str">
        <f>'Org structure'!E11</f>
        <v>1.9 - Executive Support</v>
      </c>
      <c r="B16" s="448"/>
      <c r="C16" s="749"/>
      <c r="D16" s="750">
        <v>0</v>
      </c>
      <c r="E16" s="751">
        <v>0</v>
      </c>
      <c r="F16" s="752">
        <v>0</v>
      </c>
      <c r="G16" s="751">
        <v>0</v>
      </c>
      <c r="H16" s="752">
        <v>0</v>
      </c>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v>0</v>
      </c>
      <c r="E17" s="751">
        <v>0</v>
      </c>
      <c r="F17" s="752">
        <v>0</v>
      </c>
      <c r="G17" s="751">
        <v>0</v>
      </c>
      <c r="H17" s="752">
        <v>0</v>
      </c>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Municipal Manger Office</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COUNCIL</v>
      </c>
      <c r="B19" s="448"/>
      <c r="C19" s="749"/>
      <c r="D19" s="750">
        <v>0</v>
      </c>
      <c r="E19" s="751">
        <v>0</v>
      </c>
      <c r="F19" s="752">
        <v>0</v>
      </c>
      <c r="G19" s="751">
        <v>0</v>
      </c>
      <c r="H19" s="752">
        <v>0</v>
      </c>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Municipal Manager</v>
      </c>
      <c r="B20" s="448"/>
      <c r="C20" s="749"/>
      <c r="D20" s="750">
        <v>0</v>
      </c>
      <c r="E20" s="751">
        <v>0</v>
      </c>
      <c r="F20" s="752">
        <v>0</v>
      </c>
      <c r="G20" s="751">
        <v>0</v>
      </c>
      <c r="H20" s="752">
        <v>0</v>
      </c>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t="str">
        <f>'Org structure'!E16</f>
        <v>2.3 - Risk Management</v>
      </c>
      <c r="B21" s="448"/>
      <c r="C21" s="749"/>
      <c r="D21" s="750">
        <v>0</v>
      </c>
      <c r="E21" s="751">
        <v>0</v>
      </c>
      <c r="F21" s="752">
        <v>0</v>
      </c>
      <c r="G21" s="751">
        <v>0</v>
      </c>
      <c r="H21" s="752">
        <v>0</v>
      </c>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t="str">
        <f>'Org structure'!E17</f>
        <v>2.4 - Internal Audit</v>
      </c>
      <c r="B22" s="448"/>
      <c r="C22" s="749"/>
      <c r="D22" s="750">
        <v>0</v>
      </c>
      <c r="E22" s="751">
        <v>0</v>
      </c>
      <c r="F22" s="752">
        <v>0</v>
      </c>
      <c r="G22" s="751">
        <v>0</v>
      </c>
      <c r="H22" s="752">
        <v>0</v>
      </c>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v>0</v>
      </c>
      <c r="E23" s="751">
        <v>0</v>
      </c>
      <c r="F23" s="752">
        <v>0</v>
      </c>
      <c r="G23" s="751">
        <v>0</v>
      </c>
      <c r="H23" s="752">
        <v>0</v>
      </c>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v>0</v>
      </c>
      <c r="E24" s="751">
        <v>0</v>
      </c>
      <c r="F24" s="752">
        <v>0</v>
      </c>
      <c r="G24" s="751">
        <v>0</v>
      </c>
      <c r="H24" s="752">
        <v>0</v>
      </c>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v>0</v>
      </c>
      <c r="E25" s="751">
        <v>0</v>
      </c>
      <c r="F25" s="752">
        <v>0</v>
      </c>
      <c r="G25" s="751">
        <v>0</v>
      </c>
      <c r="H25" s="752">
        <v>0</v>
      </c>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v>0</v>
      </c>
      <c r="E26" s="751">
        <v>0</v>
      </c>
      <c r="F26" s="752">
        <v>0</v>
      </c>
      <c r="G26" s="751">
        <v>0</v>
      </c>
      <c r="H26" s="752">
        <v>0</v>
      </c>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v>0</v>
      </c>
      <c r="E27" s="751">
        <v>0</v>
      </c>
      <c r="F27" s="752">
        <v>0</v>
      </c>
      <c r="G27" s="751">
        <v>0</v>
      </c>
      <c r="H27" s="752">
        <v>0</v>
      </c>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v>0</v>
      </c>
      <c r="E28" s="751">
        <v>0</v>
      </c>
      <c r="F28" s="752">
        <v>0</v>
      </c>
      <c r="G28" s="751">
        <v>0</v>
      </c>
      <c r="H28" s="752">
        <v>0</v>
      </c>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Water and Sanitation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Water and sanitation admin</v>
      </c>
      <c r="B30" s="448"/>
      <c r="C30" s="749"/>
      <c r="D30" s="750">
        <v>0</v>
      </c>
      <c r="E30" s="751">
        <v>0</v>
      </c>
      <c r="F30" s="752">
        <v>0</v>
      </c>
      <c r="G30" s="751">
        <v>0</v>
      </c>
      <c r="H30" s="751">
        <v>0</v>
      </c>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Reticulation, Distribution and Maitenance, Water Demand and Coservation</v>
      </c>
      <c r="B31" s="448"/>
      <c r="C31" s="749"/>
      <c r="D31" s="750">
        <v>0</v>
      </c>
      <c r="E31" s="751">
        <v>0</v>
      </c>
      <c r="F31" s="752">
        <v>0</v>
      </c>
      <c r="G31" s="751">
        <v>0</v>
      </c>
      <c r="H31" s="752">
        <v>0</v>
      </c>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Operations, Water and Waste Water, Quality Management and Laboratory Services</v>
      </c>
      <c r="B32" s="448"/>
      <c r="C32" s="749"/>
      <c r="D32" s="750">
        <v>0</v>
      </c>
      <c r="E32" s="751">
        <v>0</v>
      </c>
      <c r="F32" s="752">
        <v>0</v>
      </c>
      <c r="G32" s="751">
        <v>0</v>
      </c>
      <c r="H32" s="752">
        <v>0</v>
      </c>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Quality Monitoring Services</v>
      </c>
      <c r="B33" s="448"/>
      <c r="C33" s="749"/>
      <c r="D33" s="750">
        <v>0</v>
      </c>
      <c r="E33" s="751">
        <v>0</v>
      </c>
      <c r="F33" s="752">
        <v>0</v>
      </c>
      <c r="G33" s="751">
        <v>0</v>
      </c>
      <c r="H33" s="752">
        <v>0</v>
      </c>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Infrastructure Development, Planning and Reticulation Design</v>
      </c>
      <c r="B34" s="448"/>
      <c r="C34" s="749"/>
      <c r="D34" s="750">
        <v>0</v>
      </c>
      <c r="E34" s="751">
        <v>0</v>
      </c>
      <c r="F34" s="752">
        <v>0</v>
      </c>
      <c r="G34" s="751">
        <v>0</v>
      </c>
      <c r="H34" s="752">
        <v>0</v>
      </c>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v>0</v>
      </c>
      <c r="E35" s="751">
        <v>0</v>
      </c>
      <c r="F35" s="752">
        <v>0</v>
      </c>
      <c r="G35" s="751">
        <v>0</v>
      </c>
      <c r="H35" s="752">
        <v>0</v>
      </c>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v>0</v>
      </c>
      <c r="E36" s="751">
        <v>0</v>
      </c>
      <c r="F36" s="752">
        <v>0</v>
      </c>
      <c r="G36" s="751">
        <v>0</v>
      </c>
      <c r="H36" s="752">
        <v>0</v>
      </c>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v>0</v>
      </c>
      <c r="E37" s="751">
        <v>0</v>
      </c>
      <c r="F37" s="752">
        <v>0</v>
      </c>
      <c r="G37" s="751">
        <v>0</v>
      </c>
      <c r="H37" s="752">
        <v>0</v>
      </c>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v>0</v>
      </c>
      <c r="E38" s="751">
        <v>0</v>
      </c>
      <c r="F38" s="752">
        <v>0</v>
      </c>
      <c r="G38" s="751">
        <v>0</v>
      </c>
      <c r="H38" s="752">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v>0</v>
      </c>
      <c r="E39" s="751">
        <v>0</v>
      </c>
      <c r="F39" s="752">
        <v>0</v>
      </c>
      <c r="G39" s="751">
        <v>0</v>
      </c>
      <c r="H39" s="752">
        <v>0</v>
      </c>
      <c r="I39" s="45">
        <f t="shared" si="1"/>
        <v>0</v>
      </c>
      <c r="J39" s="333" t="str">
        <f t="shared" si="2"/>
        <v/>
      </c>
      <c r="K39" s="753">
        <f>D39</f>
        <v>0</v>
      </c>
      <c r="L39" s="427"/>
      <c r="M39" s="39"/>
      <c r="N39" s="39"/>
      <c r="O39" s="39"/>
      <c r="P39" s="39"/>
      <c r="Q39" s="39"/>
      <c r="R39" s="39"/>
      <c r="S39" s="39"/>
      <c r="T39" s="39"/>
      <c r="U39" s="39"/>
      <c r="V39" s="39"/>
      <c r="W39" s="39"/>
    </row>
    <row r="40" spans="1:23" ht="11.25" customHeight="1" x14ac:dyDescent="0.2">
      <c r="A40" s="469" t="str">
        <f>'Org structure'!A5</f>
        <v>Vote 4 - Energy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Energy Services Admin</v>
      </c>
      <c r="B41" s="448"/>
      <c r="C41" s="749"/>
      <c r="D41" s="750">
        <v>0</v>
      </c>
      <c r="E41" s="751">
        <v>0</v>
      </c>
      <c r="F41" s="752">
        <v>0</v>
      </c>
      <c r="G41" s="751">
        <v>0</v>
      </c>
      <c r="H41" s="752">
        <v>0</v>
      </c>
      <c r="I41" s="45">
        <f t="shared" si="1"/>
        <v>0</v>
      </c>
      <c r="J41" s="333" t="str">
        <f t="shared" si="2"/>
        <v/>
      </c>
      <c r="K41" s="753">
        <f t="shared" ref="K41:K50" si="6">D41</f>
        <v>0</v>
      </c>
      <c r="L41" s="427"/>
      <c r="M41" s="39"/>
      <c r="N41" s="39"/>
      <c r="O41" s="39"/>
      <c r="P41" s="39"/>
      <c r="Q41" s="39"/>
      <c r="R41" s="39"/>
      <c r="S41" s="39"/>
      <c r="T41" s="39"/>
      <c r="U41" s="39"/>
      <c r="V41" s="39"/>
      <c r="W41" s="39"/>
    </row>
    <row r="42" spans="1:23" ht="11.25" customHeight="1" x14ac:dyDescent="0.2">
      <c r="A42" s="410" t="str">
        <f>'Org structure'!E37</f>
        <v>4.2 - Energy Operation and Maintenance Admininstration</v>
      </c>
      <c r="B42" s="448"/>
      <c r="C42" s="749"/>
      <c r="D42" s="750">
        <v>0</v>
      </c>
      <c r="E42" s="751">
        <v>0</v>
      </c>
      <c r="F42" s="752">
        <v>0</v>
      </c>
      <c r="G42" s="751">
        <v>0</v>
      </c>
      <c r="H42" s="752">
        <v>0</v>
      </c>
      <c r="I42" s="45">
        <f t="shared" si="1"/>
        <v>0</v>
      </c>
      <c r="J42" s="333" t="str">
        <f t="shared" si="2"/>
        <v/>
      </c>
      <c r="K42" s="753">
        <f t="shared" si="6"/>
        <v>0</v>
      </c>
      <c r="L42" s="427"/>
      <c r="M42" s="39"/>
      <c r="N42" s="39"/>
      <c r="O42" s="39"/>
      <c r="P42" s="39"/>
      <c r="Q42" s="39"/>
      <c r="R42" s="39"/>
      <c r="S42" s="39"/>
      <c r="T42" s="39"/>
      <c r="U42" s="39"/>
      <c r="V42" s="39"/>
      <c r="W42" s="39"/>
    </row>
    <row r="43" spans="1:23" ht="11.25" customHeight="1" x14ac:dyDescent="0.2">
      <c r="A43" s="410" t="str">
        <f>'Org structure'!E38</f>
        <v>4.3 - Energy Services: 66KV Operations, Maitenance: Scada and Protection</v>
      </c>
      <c r="B43" s="448"/>
      <c r="C43" s="749"/>
      <c r="D43" s="750">
        <v>0</v>
      </c>
      <c r="E43" s="751">
        <v>0</v>
      </c>
      <c r="F43" s="752">
        <v>0</v>
      </c>
      <c r="G43" s="751">
        <v>0</v>
      </c>
      <c r="H43" s="752">
        <v>0</v>
      </c>
      <c r="I43" s="45">
        <f t="shared" si="1"/>
        <v>0</v>
      </c>
      <c r="J43" s="333" t="str">
        <f t="shared" si="2"/>
        <v/>
      </c>
      <c r="K43" s="753">
        <f t="shared" si="6"/>
        <v>0</v>
      </c>
      <c r="L43" s="427"/>
      <c r="M43" s="39"/>
      <c r="N43" s="39"/>
      <c r="O43" s="39"/>
      <c r="P43" s="39"/>
      <c r="Q43" s="39"/>
      <c r="R43" s="39"/>
      <c r="S43" s="39"/>
      <c r="T43" s="39"/>
      <c r="U43" s="39"/>
      <c r="V43" s="39"/>
      <c r="W43" s="39"/>
    </row>
    <row r="44" spans="1:23" ht="11.25" customHeight="1" x14ac:dyDescent="0.2">
      <c r="A44" s="410" t="str">
        <f>'Org structure'!E39</f>
        <v>4.4 - Energy Services: 11KV Operations, Maitenance and Construction</v>
      </c>
      <c r="B44" s="448"/>
      <c r="C44" s="749"/>
      <c r="D44" s="750">
        <v>0</v>
      </c>
      <c r="E44" s="751">
        <v>0</v>
      </c>
      <c r="F44" s="752">
        <v>0</v>
      </c>
      <c r="G44" s="751">
        <v>0</v>
      </c>
      <c r="H44" s="752">
        <v>0</v>
      </c>
      <c r="I44" s="45">
        <f t="shared" si="1"/>
        <v>0</v>
      </c>
      <c r="J44" s="333" t="str">
        <f t="shared" si="2"/>
        <v/>
      </c>
      <c r="K44" s="753">
        <f t="shared" si="6"/>
        <v>0</v>
      </c>
      <c r="L44" s="427"/>
      <c r="M44" s="39"/>
      <c r="N44" s="39"/>
      <c r="O44" s="39"/>
      <c r="P44" s="39"/>
      <c r="Q44" s="39"/>
      <c r="R44" s="39"/>
      <c r="S44" s="39"/>
      <c r="T44" s="39"/>
      <c r="U44" s="39"/>
      <c r="V44" s="39"/>
      <c r="W44" s="39"/>
    </row>
    <row r="45" spans="1:23" ht="11.25" customHeight="1" x14ac:dyDescent="0.2">
      <c r="A45" s="410" t="str">
        <f>'Org structure'!E40</f>
        <v>4.5 - Energy Services: Planning and development</v>
      </c>
      <c r="B45" s="448"/>
      <c r="C45" s="749"/>
      <c r="D45" s="750">
        <v>0</v>
      </c>
      <c r="E45" s="751">
        <v>0</v>
      </c>
      <c r="F45" s="752">
        <v>0</v>
      </c>
      <c r="G45" s="751">
        <v>0</v>
      </c>
      <c r="H45" s="752">
        <v>0</v>
      </c>
      <c r="I45" s="45">
        <f t="shared" si="1"/>
        <v>0</v>
      </c>
      <c r="J45" s="333" t="str">
        <f t="shared" si="2"/>
        <v/>
      </c>
      <c r="K45" s="753">
        <f t="shared" si="6"/>
        <v>0</v>
      </c>
      <c r="L45" s="427"/>
      <c r="M45" s="39"/>
      <c r="N45" s="39"/>
      <c r="O45" s="39"/>
      <c r="P45" s="39"/>
      <c r="Q45" s="39"/>
      <c r="R45" s="39"/>
      <c r="S45" s="39"/>
      <c r="T45" s="39"/>
      <c r="U45" s="39"/>
      <c r="V45" s="39"/>
      <c r="W45" s="39"/>
    </row>
    <row r="46" spans="1:23" ht="11.25" customHeight="1" x14ac:dyDescent="0.2">
      <c r="A46" s="410" t="str">
        <f>'Org structure'!E41</f>
        <v xml:space="preserve">4.6 - </v>
      </c>
      <c r="B46" s="448"/>
      <c r="C46" s="749"/>
      <c r="D46" s="750">
        <v>0</v>
      </c>
      <c r="E46" s="751">
        <v>0</v>
      </c>
      <c r="F46" s="752">
        <v>0</v>
      </c>
      <c r="G46" s="751">
        <v>0</v>
      </c>
      <c r="H46" s="752">
        <v>0</v>
      </c>
      <c r="I46" s="45">
        <f t="shared" si="1"/>
        <v>0</v>
      </c>
      <c r="J46" s="333" t="str">
        <f t="shared" si="2"/>
        <v/>
      </c>
      <c r="K46" s="753">
        <f t="shared" si="6"/>
        <v>0</v>
      </c>
      <c r="L46" s="427"/>
      <c r="M46" s="39"/>
      <c r="N46" s="39"/>
      <c r="O46" s="39"/>
      <c r="P46" s="39"/>
      <c r="Q46" s="39"/>
      <c r="R46" s="39"/>
      <c r="S46" s="39"/>
      <c r="T46" s="39"/>
      <c r="U46" s="39"/>
      <c r="V46" s="39"/>
      <c r="W46" s="39"/>
    </row>
    <row r="47" spans="1:23" ht="11.25" customHeight="1" x14ac:dyDescent="0.2">
      <c r="A47" s="410" t="str">
        <f>'Org structure'!E42</f>
        <v xml:space="preserve">4.7 - </v>
      </c>
      <c r="B47" s="448"/>
      <c r="C47" s="749"/>
      <c r="D47" s="750">
        <v>0</v>
      </c>
      <c r="E47" s="751">
        <v>0</v>
      </c>
      <c r="F47" s="752">
        <v>0</v>
      </c>
      <c r="G47" s="751">
        <v>0</v>
      </c>
      <c r="H47" s="752">
        <v>0</v>
      </c>
      <c r="I47" s="45">
        <f t="shared" si="1"/>
        <v>0</v>
      </c>
      <c r="J47" s="333" t="str">
        <f t="shared" si="2"/>
        <v/>
      </c>
      <c r="K47" s="753">
        <f t="shared" si="6"/>
        <v>0</v>
      </c>
      <c r="L47" s="427"/>
      <c r="M47" s="39"/>
      <c r="N47" s="39"/>
      <c r="O47" s="39"/>
      <c r="P47" s="39"/>
      <c r="Q47" s="39"/>
      <c r="R47" s="39"/>
      <c r="S47" s="39"/>
      <c r="T47" s="39"/>
      <c r="U47" s="39"/>
      <c r="V47" s="39"/>
      <c r="W47" s="39"/>
    </row>
    <row r="48" spans="1:23" ht="11.25" customHeight="1" x14ac:dyDescent="0.2">
      <c r="A48" s="410" t="str">
        <f>'Org structure'!E43</f>
        <v xml:space="preserve">4.8 - </v>
      </c>
      <c r="B48" s="448"/>
      <c r="C48" s="749"/>
      <c r="D48" s="750">
        <v>0</v>
      </c>
      <c r="E48" s="751">
        <v>0</v>
      </c>
      <c r="F48" s="752">
        <v>0</v>
      </c>
      <c r="G48" s="751">
        <v>0</v>
      </c>
      <c r="H48" s="752">
        <v>0</v>
      </c>
      <c r="I48" s="45">
        <f t="shared" si="1"/>
        <v>0</v>
      </c>
      <c r="J48" s="333" t="str">
        <f t="shared" si="2"/>
        <v/>
      </c>
      <c r="K48" s="753">
        <f t="shared" si="6"/>
        <v>0</v>
      </c>
      <c r="L48" s="427"/>
      <c r="M48" s="39"/>
      <c r="N48" s="39"/>
      <c r="O48" s="39"/>
      <c r="P48" s="39"/>
      <c r="Q48" s="39"/>
      <c r="R48" s="39"/>
      <c r="S48" s="39"/>
      <c r="T48" s="39"/>
      <c r="U48" s="39"/>
      <c r="V48" s="39"/>
      <c r="W48" s="39"/>
    </row>
    <row r="49" spans="1:23" ht="11.25" customHeight="1" x14ac:dyDescent="0.2">
      <c r="A49" s="410" t="str">
        <f>'Org structure'!E44</f>
        <v xml:space="preserve">4.9 - </v>
      </c>
      <c r="B49" s="448"/>
      <c r="C49" s="749"/>
      <c r="D49" s="750">
        <v>0</v>
      </c>
      <c r="E49" s="751">
        <v>0</v>
      </c>
      <c r="F49" s="752">
        <v>0</v>
      </c>
      <c r="G49" s="751">
        <v>0</v>
      </c>
      <c r="H49" s="752">
        <v>0</v>
      </c>
      <c r="I49" s="45">
        <f t="shared" si="1"/>
        <v>0</v>
      </c>
      <c r="J49" s="333" t="str">
        <f t="shared" si="2"/>
        <v/>
      </c>
      <c r="K49" s="753">
        <f t="shared" si="6"/>
        <v>0</v>
      </c>
      <c r="L49" s="427"/>
      <c r="M49" s="39"/>
      <c r="N49" s="39"/>
      <c r="O49" s="39"/>
      <c r="P49" s="39"/>
      <c r="Q49" s="39"/>
      <c r="R49" s="39"/>
      <c r="S49" s="39"/>
      <c r="T49" s="39"/>
      <c r="U49" s="39"/>
      <c r="V49" s="39"/>
      <c r="W49" s="39"/>
    </row>
    <row r="50" spans="1:23" ht="11.25" customHeight="1" x14ac:dyDescent="0.2">
      <c r="A50" s="410" t="str">
        <f>'Org structure'!E45</f>
        <v xml:space="preserve">4.10 - </v>
      </c>
      <c r="B50" s="448"/>
      <c r="C50" s="749"/>
      <c r="D50" s="750">
        <v>0</v>
      </c>
      <c r="E50" s="751">
        <v>0</v>
      </c>
      <c r="F50" s="752">
        <v>0</v>
      </c>
      <c r="G50" s="751">
        <v>0</v>
      </c>
      <c r="H50" s="752">
        <v>0</v>
      </c>
      <c r="I50" s="45">
        <f t="shared" si="1"/>
        <v>0</v>
      </c>
      <c r="J50" s="333" t="str">
        <f t="shared" si="2"/>
        <v/>
      </c>
      <c r="K50" s="753">
        <f t="shared" si="6"/>
        <v>0</v>
      </c>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7">SUM(D52:D61)</f>
        <v>0</v>
      </c>
      <c r="E51" s="444">
        <f t="shared" si="7"/>
        <v>0</v>
      </c>
      <c r="F51" s="446">
        <f t="shared" si="7"/>
        <v>0</v>
      </c>
      <c r="G51" s="444">
        <f t="shared" si="7"/>
        <v>0</v>
      </c>
      <c r="H51" s="446">
        <f t="shared" si="7"/>
        <v>0</v>
      </c>
      <c r="I51" s="45">
        <f t="shared" si="1"/>
        <v>0</v>
      </c>
      <c r="J51" s="333" t="str">
        <f t="shared" si="2"/>
        <v/>
      </c>
      <c r="K51" s="445">
        <f t="shared" si="7"/>
        <v>0</v>
      </c>
      <c r="L51" s="427"/>
      <c r="M51" s="39"/>
      <c r="N51" s="39"/>
      <c r="O51" s="39"/>
      <c r="P51" s="39"/>
      <c r="Q51" s="39"/>
      <c r="R51" s="39"/>
      <c r="S51" s="39"/>
      <c r="T51" s="39"/>
      <c r="U51" s="39"/>
      <c r="V51" s="39"/>
      <c r="W51" s="39"/>
    </row>
    <row r="52" spans="1:23" ht="11.25" customHeight="1" x14ac:dyDescent="0.2">
      <c r="A52" s="410" t="str">
        <f>'Org structure'!E47</f>
        <v>5.1 - Directorate Community Services</v>
      </c>
      <c r="B52" s="448"/>
      <c r="C52" s="749"/>
      <c r="D52" s="750">
        <v>0</v>
      </c>
      <c r="E52" s="751">
        <v>0</v>
      </c>
      <c r="F52" s="752">
        <v>0</v>
      </c>
      <c r="G52" s="751">
        <v>0</v>
      </c>
      <c r="H52" s="752">
        <v>0</v>
      </c>
      <c r="I52" s="45">
        <f t="shared" si="1"/>
        <v>0</v>
      </c>
      <c r="J52" s="333" t="str">
        <f t="shared" si="2"/>
        <v/>
      </c>
      <c r="K52" s="753">
        <f t="shared" ref="K52:K61" si="8">D52</f>
        <v>0</v>
      </c>
      <c r="L52" s="427"/>
      <c r="M52" s="39"/>
      <c r="N52" s="39"/>
      <c r="O52" s="39"/>
      <c r="P52" s="39"/>
      <c r="Q52" s="39"/>
      <c r="R52" s="39"/>
      <c r="S52" s="39"/>
      <c r="T52" s="39"/>
      <c r="U52" s="39"/>
      <c r="V52" s="39"/>
      <c r="W52" s="39"/>
    </row>
    <row r="53" spans="1:23" ht="11.25" customHeight="1" x14ac:dyDescent="0.2">
      <c r="A53" s="410" t="str">
        <f>'Org structure'!E48</f>
        <v>5.2 - Sport and Recreation</v>
      </c>
      <c r="B53" s="448"/>
      <c r="C53" s="749"/>
      <c r="D53" s="750">
        <v>0</v>
      </c>
      <c r="E53" s="751">
        <v>0</v>
      </c>
      <c r="F53" s="752">
        <v>0</v>
      </c>
      <c r="G53" s="751">
        <v>0</v>
      </c>
      <c r="H53" s="752">
        <v>0</v>
      </c>
      <c r="I53" s="45">
        <f t="shared" si="1"/>
        <v>0</v>
      </c>
      <c r="J53" s="333" t="str">
        <f t="shared" si="2"/>
        <v/>
      </c>
      <c r="K53" s="753">
        <f t="shared" si="8"/>
        <v>0</v>
      </c>
      <c r="L53" s="427"/>
      <c r="M53" s="39"/>
      <c r="N53" s="39"/>
      <c r="O53" s="39"/>
      <c r="P53" s="39"/>
      <c r="Q53" s="39"/>
      <c r="R53" s="39"/>
      <c r="S53" s="39"/>
      <c r="T53" s="39"/>
      <c r="U53" s="39"/>
      <c r="V53" s="39"/>
      <c r="W53" s="39"/>
    </row>
    <row r="54" spans="1:23" ht="11.25" customHeight="1" x14ac:dyDescent="0.2">
      <c r="A54" s="410" t="str">
        <f>'Org structure'!E49</f>
        <v>5.3 - Sport and Facilities Maintenance</v>
      </c>
      <c r="B54" s="448"/>
      <c r="C54" s="749"/>
      <c r="D54" s="750">
        <v>0</v>
      </c>
      <c r="E54" s="751">
        <v>0</v>
      </c>
      <c r="F54" s="752">
        <v>0</v>
      </c>
      <c r="G54" s="751">
        <v>0</v>
      </c>
      <c r="H54" s="752">
        <v>0</v>
      </c>
      <c r="I54" s="45">
        <f t="shared" si="1"/>
        <v>0</v>
      </c>
      <c r="J54" s="333" t="str">
        <f t="shared" si="2"/>
        <v/>
      </c>
      <c r="K54" s="753">
        <f t="shared" si="8"/>
        <v>0</v>
      </c>
      <c r="L54" s="427"/>
      <c r="M54" s="39"/>
      <c r="N54" s="39"/>
      <c r="O54" s="39"/>
      <c r="P54" s="39"/>
      <c r="Q54" s="39"/>
      <c r="R54" s="39"/>
      <c r="S54" s="39"/>
      <c r="T54" s="39"/>
      <c r="U54" s="39"/>
      <c r="V54" s="39"/>
      <c r="W54" s="39"/>
    </row>
    <row r="55" spans="1:23" ht="11.25" customHeight="1" x14ac:dyDescent="0.2">
      <c r="A55" s="410" t="str">
        <f>'Org structure'!E50</f>
        <v>5.4 - Swimming Pools</v>
      </c>
      <c r="B55" s="448"/>
      <c r="C55" s="749"/>
      <c r="D55" s="750">
        <v>0</v>
      </c>
      <c r="E55" s="751">
        <v>0</v>
      </c>
      <c r="F55" s="752">
        <v>0</v>
      </c>
      <c r="G55" s="751">
        <v>0</v>
      </c>
      <c r="H55" s="752">
        <v>0</v>
      </c>
      <c r="I55" s="45">
        <f t="shared" si="1"/>
        <v>0</v>
      </c>
      <c r="J55" s="333" t="str">
        <f t="shared" si="2"/>
        <v/>
      </c>
      <c r="K55" s="753">
        <f t="shared" si="8"/>
        <v>0</v>
      </c>
      <c r="L55" s="427"/>
      <c r="M55" s="39"/>
      <c r="N55" s="39"/>
      <c r="O55" s="39"/>
      <c r="P55" s="39"/>
      <c r="Q55" s="39"/>
      <c r="R55" s="39"/>
      <c r="S55" s="39"/>
      <c r="T55" s="39"/>
      <c r="U55" s="39"/>
      <c r="V55" s="39"/>
      <c r="W55" s="39"/>
    </row>
    <row r="56" spans="1:23" ht="11.25" customHeight="1" x14ac:dyDescent="0.2">
      <c r="A56" s="410" t="str">
        <f>'Org structure'!E51</f>
        <v>5.5 - Museums and Art Galleries</v>
      </c>
      <c r="B56" s="448"/>
      <c r="C56" s="749"/>
      <c r="D56" s="750">
        <v>0</v>
      </c>
      <c r="E56" s="751">
        <v>0</v>
      </c>
      <c r="F56" s="752">
        <v>0</v>
      </c>
      <c r="G56" s="751">
        <v>0</v>
      </c>
      <c r="H56" s="752">
        <v>0</v>
      </c>
      <c r="I56" s="45">
        <f t="shared" si="1"/>
        <v>0</v>
      </c>
      <c r="J56" s="333" t="str">
        <f t="shared" si="2"/>
        <v/>
      </c>
      <c r="K56" s="753">
        <f t="shared" si="8"/>
        <v>0</v>
      </c>
      <c r="L56" s="427"/>
      <c r="M56" s="39"/>
      <c r="N56" s="39"/>
      <c r="O56" s="39"/>
      <c r="P56" s="39"/>
      <c r="Q56" s="39"/>
      <c r="R56" s="39"/>
      <c r="S56" s="39"/>
      <c r="T56" s="39"/>
      <c r="U56" s="39"/>
      <c r="V56" s="39"/>
      <c r="W56" s="39"/>
    </row>
    <row r="57" spans="1:23" ht="11.25" customHeight="1" x14ac:dyDescent="0.2">
      <c r="A57" s="410" t="str">
        <f>'Org structure'!E52</f>
        <v>5.6 - Libraries and Archives</v>
      </c>
      <c r="B57" s="448"/>
      <c r="C57" s="749"/>
      <c r="D57" s="750">
        <v>0</v>
      </c>
      <c r="E57" s="751">
        <v>0</v>
      </c>
      <c r="F57" s="752">
        <v>0</v>
      </c>
      <c r="G57" s="751">
        <v>0</v>
      </c>
      <c r="H57" s="752">
        <v>0</v>
      </c>
      <c r="I57" s="45">
        <f t="shared" si="1"/>
        <v>0</v>
      </c>
      <c r="J57" s="333" t="str">
        <f t="shared" si="2"/>
        <v/>
      </c>
      <c r="K57" s="753">
        <f t="shared" si="8"/>
        <v>0</v>
      </c>
      <c r="L57" s="427"/>
      <c r="M57" s="39"/>
      <c r="N57" s="39"/>
      <c r="O57" s="39"/>
      <c r="P57" s="39"/>
      <c r="Q57" s="39"/>
      <c r="R57" s="39"/>
      <c r="S57" s="39"/>
      <c r="T57" s="39"/>
      <c r="U57" s="39"/>
      <c r="V57" s="39"/>
      <c r="W57" s="39"/>
    </row>
    <row r="58" spans="1:23" ht="11.25" customHeight="1" x14ac:dyDescent="0.2">
      <c r="A58" s="410" t="str">
        <f>'Org structure'!E53</f>
        <v>5.7 - Culture Services</v>
      </c>
      <c r="B58" s="448"/>
      <c r="C58" s="749"/>
      <c r="D58" s="750">
        <v>0</v>
      </c>
      <c r="E58" s="751">
        <v>0</v>
      </c>
      <c r="F58" s="752">
        <v>0</v>
      </c>
      <c r="G58" s="751">
        <v>0</v>
      </c>
      <c r="H58" s="752">
        <v>0</v>
      </c>
      <c r="I58" s="45">
        <f t="shared" si="1"/>
        <v>0</v>
      </c>
      <c r="J58" s="333" t="str">
        <f t="shared" si="2"/>
        <v/>
      </c>
      <c r="K58" s="753">
        <f t="shared" si="8"/>
        <v>0</v>
      </c>
      <c r="L58" s="427"/>
      <c r="M58" s="39"/>
      <c r="N58" s="39"/>
      <c r="O58" s="39"/>
      <c r="P58" s="39"/>
      <c r="Q58" s="39"/>
      <c r="R58" s="39"/>
      <c r="S58" s="39"/>
      <c r="T58" s="39"/>
      <c r="U58" s="39"/>
      <c r="V58" s="39"/>
      <c r="W58" s="39"/>
    </row>
    <row r="59" spans="1:23" ht="11.25" customHeight="1" x14ac:dyDescent="0.2">
      <c r="A59" s="410" t="str">
        <f>'Org structure'!E54</f>
        <v>5.8 - Cemetaries</v>
      </c>
      <c r="B59" s="448"/>
      <c r="C59" s="749"/>
      <c r="D59" s="750">
        <v>0</v>
      </c>
      <c r="E59" s="751">
        <v>0</v>
      </c>
      <c r="F59" s="752">
        <v>0</v>
      </c>
      <c r="G59" s="751">
        <v>0</v>
      </c>
      <c r="H59" s="752">
        <v>0</v>
      </c>
      <c r="I59" s="45">
        <f t="shared" si="1"/>
        <v>0</v>
      </c>
      <c r="J59" s="333" t="str">
        <f t="shared" si="2"/>
        <v/>
      </c>
      <c r="K59" s="753">
        <f t="shared" si="8"/>
        <v>0</v>
      </c>
      <c r="L59" s="427"/>
      <c r="M59" s="39"/>
      <c r="N59" s="39"/>
      <c r="O59" s="39"/>
      <c r="P59" s="39"/>
      <c r="Q59" s="39"/>
      <c r="R59" s="39"/>
      <c r="S59" s="39"/>
      <c r="T59" s="39"/>
      <c r="U59" s="39"/>
      <c r="V59" s="39"/>
      <c r="W59" s="39"/>
    </row>
    <row r="60" spans="1:23" ht="11.25" customHeight="1" x14ac:dyDescent="0.2">
      <c r="A60" s="410" t="str">
        <f>'Org structure'!E55</f>
        <v>5.9 - Waste Management</v>
      </c>
      <c r="B60" s="448"/>
      <c r="C60" s="749"/>
      <c r="D60" s="750">
        <v>0</v>
      </c>
      <c r="E60" s="751">
        <v>0</v>
      </c>
      <c r="F60" s="752">
        <v>0</v>
      </c>
      <c r="G60" s="751">
        <v>0</v>
      </c>
      <c r="H60" s="752">
        <v>0</v>
      </c>
      <c r="I60" s="45">
        <f t="shared" si="1"/>
        <v>0</v>
      </c>
      <c r="J60" s="333" t="str">
        <f t="shared" si="2"/>
        <v/>
      </c>
      <c r="K60" s="753">
        <f t="shared" si="8"/>
        <v>0</v>
      </c>
      <c r="L60" s="427"/>
      <c r="M60" s="39"/>
      <c r="N60" s="39"/>
      <c r="O60" s="39"/>
      <c r="P60" s="39"/>
      <c r="Q60" s="39"/>
      <c r="R60" s="39"/>
      <c r="S60" s="39"/>
      <c r="T60" s="39"/>
      <c r="U60" s="39"/>
      <c r="V60" s="39"/>
      <c r="W60" s="39"/>
    </row>
    <row r="61" spans="1:23" ht="11.25" customHeight="1" x14ac:dyDescent="0.2">
      <c r="A61" s="410" t="str">
        <f>'Org structure'!E56</f>
        <v>5.10 - Other Community Services</v>
      </c>
      <c r="B61" s="448"/>
      <c r="C61" s="749"/>
      <c r="D61" s="750">
        <v>0</v>
      </c>
      <c r="E61" s="751">
        <v>0</v>
      </c>
      <c r="F61" s="752">
        <v>0</v>
      </c>
      <c r="G61" s="751">
        <v>0</v>
      </c>
      <c r="H61" s="752">
        <v>0</v>
      </c>
      <c r="I61" s="45">
        <f t="shared" si="1"/>
        <v>0</v>
      </c>
      <c r="J61" s="333" t="str">
        <f t="shared" si="2"/>
        <v/>
      </c>
      <c r="K61" s="753">
        <f t="shared" si="8"/>
        <v>0</v>
      </c>
      <c r="L61" s="427"/>
      <c r="M61" s="39"/>
      <c r="N61" s="39"/>
      <c r="O61" s="39"/>
      <c r="P61" s="39"/>
      <c r="Q61" s="39"/>
      <c r="R61" s="39"/>
      <c r="S61" s="39"/>
      <c r="T61" s="39"/>
      <c r="U61" s="39"/>
      <c r="V61" s="39"/>
      <c r="W61" s="39"/>
    </row>
    <row r="62" spans="1:23" ht="11.25" customHeight="1" x14ac:dyDescent="0.2">
      <c r="A62" s="469" t="str">
        <f>'Org structure'!A7</f>
        <v>Vote 6 - Public Safety</v>
      </c>
      <c r="B62" s="443"/>
      <c r="C62" s="506">
        <f>SUM(C63:C72)</f>
        <v>0</v>
      </c>
      <c r="D62" s="447">
        <f t="shared" ref="D62:K62" si="9">SUM(D63:D72)</f>
        <v>0</v>
      </c>
      <c r="E62" s="444">
        <f t="shared" si="9"/>
        <v>0</v>
      </c>
      <c r="F62" s="446">
        <f t="shared" si="9"/>
        <v>0</v>
      </c>
      <c r="G62" s="444">
        <f t="shared" si="9"/>
        <v>0</v>
      </c>
      <c r="H62" s="446">
        <f t="shared" si="9"/>
        <v>0</v>
      </c>
      <c r="I62" s="45">
        <f t="shared" si="1"/>
        <v>0</v>
      </c>
      <c r="J62" s="333" t="str">
        <f t="shared" si="2"/>
        <v/>
      </c>
      <c r="K62" s="445">
        <f t="shared" si="9"/>
        <v>0</v>
      </c>
      <c r="L62" s="427"/>
      <c r="M62" s="39"/>
      <c r="N62" s="39"/>
      <c r="O62" s="39"/>
      <c r="P62" s="39"/>
      <c r="Q62" s="39"/>
      <c r="R62" s="39"/>
      <c r="S62" s="39"/>
      <c r="T62" s="39"/>
      <c r="U62" s="39"/>
      <c r="V62" s="39"/>
      <c r="W62" s="39"/>
    </row>
    <row r="63" spans="1:23" ht="11.25" customHeight="1" x14ac:dyDescent="0.2">
      <c r="A63" s="410" t="str">
        <f>'Org structure'!E58</f>
        <v>6.1 - Security Services</v>
      </c>
      <c r="B63" s="448"/>
      <c r="C63" s="749"/>
      <c r="D63" s="750">
        <v>0</v>
      </c>
      <c r="E63" s="751">
        <v>0</v>
      </c>
      <c r="F63" s="752">
        <v>0</v>
      </c>
      <c r="G63" s="751">
        <v>0</v>
      </c>
      <c r="H63" s="752">
        <v>0</v>
      </c>
      <c r="I63" s="45">
        <f t="shared" si="1"/>
        <v>0</v>
      </c>
      <c r="J63" s="333" t="str">
        <f t="shared" si="2"/>
        <v/>
      </c>
      <c r="K63" s="753">
        <f t="shared" ref="K63:K72" si="10">D63</f>
        <v>0</v>
      </c>
      <c r="L63" s="427"/>
      <c r="M63" s="39"/>
      <c r="N63" s="39"/>
      <c r="O63" s="39"/>
      <c r="P63" s="39"/>
      <c r="Q63" s="39"/>
      <c r="R63" s="39"/>
      <c r="S63" s="39"/>
      <c r="T63" s="39"/>
      <c r="U63" s="39"/>
      <c r="V63" s="39"/>
      <c r="W63" s="39"/>
    </row>
    <row r="64" spans="1:23" ht="11.25" customHeight="1" x14ac:dyDescent="0.2">
      <c r="A64" s="410" t="str">
        <f>'Org structure'!E59</f>
        <v>6.2 - Fire and Emergency Services</v>
      </c>
      <c r="B64" s="448"/>
      <c r="C64" s="749"/>
      <c r="D64" s="750">
        <v>0</v>
      </c>
      <c r="E64" s="751">
        <v>0</v>
      </c>
      <c r="F64" s="752">
        <v>0</v>
      </c>
      <c r="G64" s="751">
        <v>0</v>
      </c>
      <c r="H64" s="752">
        <v>0</v>
      </c>
      <c r="I64" s="45">
        <f t="shared" si="1"/>
        <v>0</v>
      </c>
      <c r="J64" s="333" t="str">
        <f t="shared" si="2"/>
        <v/>
      </c>
      <c r="K64" s="753">
        <f t="shared" si="10"/>
        <v>0</v>
      </c>
      <c r="L64" s="427"/>
      <c r="M64" s="39"/>
      <c r="N64" s="39"/>
      <c r="O64" s="39"/>
      <c r="P64" s="39"/>
      <c r="Q64" s="39"/>
      <c r="R64" s="39"/>
      <c r="S64" s="39"/>
      <c r="T64" s="39"/>
      <c r="U64" s="39"/>
      <c r="V64" s="39"/>
      <c r="W64" s="39"/>
    </row>
    <row r="65" spans="1:23" ht="11.25" customHeight="1" x14ac:dyDescent="0.2">
      <c r="A65" s="410" t="str">
        <f>'Org structure'!E60</f>
        <v>6.3 - Public Safety Administrative</v>
      </c>
      <c r="B65" s="448"/>
      <c r="C65" s="749"/>
      <c r="D65" s="750">
        <v>0</v>
      </c>
      <c r="E65" s="751">
        <v>0</v>
      </c>
      <c r="F65" s="752">
        <v>0</v>
      </c>
      <c r="G65" s="751">
        <v>0</v>
      </c>
      <c r="H65" s="752">
        <v>0</v>
      </c>
      <c r="I65" s="45">
        <f t="shared" si="1"/>
        <v>0</v>
      </c>
      <c r="J65" s="333" t="str">
        <f t="shared" si="2"/>
        <v/>
      </c>
      <c r="K65" s="753">
        <f t="shared" si="10"/>
        <v>0</v>
      </c>
      <c r="L65" s="427"/>
      <c r="M65" s="39"/>
      <c r="N65" s="39"/>
      <c r="O65" s="39"/>
      <c r="P65" s="39"/>
      <c r="Q65" s="39"/>
      <c r="R65" s="39"/>
      <c r="S65" s="39"/>
      <c r="T65" s="39"/>
      <c r="U65" s="39"/>
      <c r="V65" s="39"/>
      <c r="W65" s="39"/>
    </row>
    <row r="66" spans="1:23" ht="11.25" customHeight="1" x14ac:dyDescent="0.2">
      <c r="A66" s="410" t="str">
        <f>'Org structure'!E61</f>
        <v>6.4 - Licensing</v>
      </c>
      <c r="B66" s="448"/>
      <c r="C66" s="749"/>
      <c r="D66" s="750">
        <v>0</v>
      </c>
      <c r="E66" s="751">
        <v>0</v>
      </c>
      <c r="F66" s="752">
        <v>0</v>
      </c>
      <c r="G66" s="751">
        <v>0</v>
      </c>
      <c r="H66" s="752">
        <v>0</v>
      </c>
      <c r="I66" s="45">
        <f t="shared" si="1"/>
        <v>0</v>
      </c>
      <c r="J66" s="333" t="str">
        <f t="shared" si="2"/>
        <v/>
      </c>
      <c r="K66" s="753">
        <f t="shared" si="10"/>
        <v>0</v>
      </c>
      <c r="L66" s="427"/>
      <c r="M66" s="39"/>
      <c r="N66" s="39"/>
      <c r="O66" s="39"/>
      <c r="P66" s="39"/>
      <c r="Q66" s="39"/>
      <c r="R66" s="39"/>
      <c r="S66" s="39"/>
      <c r="T66" s="39"/>
      <c r="U66" s="39"/>
      <c r="V66" s="39"/>
      <c r="W66" s="39"/>
    </row>
    <row r="67" spans="1:23" ht="11.25" customHeight="1" x14ac:dyDescent="0.2">
      <c r="A67" s="410" t="str">
        <f>'Org structure'!E62</f>
        <v>6.5 - Vehicle Licensing and Testing</v>
      </c>
      <c r="B67" s="448"/>
      <c r="C67" s="749"/>
      <c r="D67" s="750">
        <v>0</v>
      </c>
      <c r="E67" s="751">
        <v>0</v>
      </c>
      <c r="F67" s="752">
        <v>0</v>
      </c>
      <c r="G67" s="751">
        <v>0</v>
      </c>
      <c r="H67" s="752">
        <v>0</v>
      </c>
      <c r="I67" s="45">
        <f t="shared" si="1"/>
        <v>0</v>
      </c>
      <c r="J67" s="333" t="str">
        <f t="shared" si="2"/>
        <v/>
      </c>
      <c r="K67" s="753">
        <f t="shared" si="10"/>
        <v>0</v>
      </c>
      <c r="L67" s="427"/>
      <c r="M67" s="39"/>
      <c r="N67" s="39"/>
      <c r="O67" s="39"/>
      <c r="P67" s="39"/>
      <c r="Q67" s="39"/>
      <c r="R67" s="39"/>
      <c r="S67" s="39"/>
      <c r="T67" s="39"/>
      <c r="U67" s="39"/>
      <c r="V67" s="39"/>
      <c r="W67" s="39"/>
    </row>
    <row r="68" spans="1:23" ht="11.25" customHeight="1" x14ac:dyDescent="0.2">
      <c r="A68" s="410" t="str">
        <f>'Org structure'!E63</f>
        <v>6.6 - Traffic</v>
      </c>
      <c r="B68" s="448"/>
      <c r="C68" s="749"/>
      <c r="D68" s="750">
        <v>0</v>
      </c>
      <c r="E68" s="751">
        <v>0</v>
      </c>
      <c r="F68" s="752">
        <v>0</v>
      </c>
      <c r="G68" s="751">
        <v>0</v>
      </c>
      <c r="H68" s="752">
        <v>0</v>
      </c>
      <c r="I68" s="45">
        <f t="shared" si="1"/>
        <v>0</v>
      </c>
      <c r="J68" s="333" t="str">
        <f t="shared" si="2"/>
        <v/>
      </c>
      <c r="K68" s="753">
        <f t="shared" si="10"/>
        <v>0</v>
      </c>
      <c r="L68" s="427"/>
      <c r="M68" s="39"/>
      <c r="N68" s="39"/>
      <c r="O68" s="39"/>
      <c r="P68" s="39"/>
      <c r="Q68" s="39"/>
      <c r="R68" s="39"/>
      <c r="S68" s="39"/>
      <c r="T68" s="39"/>
      <c r="U68" s="39"/>
      <c r="V68" s="39"/>
      <c r="W68" s="39"/>
    </row>
    <row r="69" spans="1:23" ht="11.25" customHeight="1" x14ac:dyDescent="0.2">
      <c r="A69" s="410" t="str">
        <f>'Org structure'!E64</f>
        <v>6.7 - By-Law Enforcement and Security (administration)</v>
      </c>
      <c r="B69" s="448"/>
      <c r="C69" s="749"/>
      <c r="D69" s="750">
        <v>0</v>
      </c>
      <c r="E69" s="751">
        <v>0</v>
      </c>
      <c r="F69" s="752">
        <v>0</v>
      </c>
      <c r="G69" s="751">
        <v>0</v>
      </c>
      <c r="H69" s="752">
        <v>0</v>
      </c>
      <c r="I69" s="45">
        <f t="shared" si="1"/>
        <v>0</v>
      </c>
      <c r="J69" s="333" t="str">
        <f t="shared" si="2"/>
        <v/>
      </c>
      <c r="K69" s="753">
        <f t="shared" si="10"/>
        <v>0</v>
      </c>
      <c r="L69" s="427"/>
      <c r="M69" s="39"/>
      <c r="N69" s="39"/>
      <c r="O69" s="39"/>
      <c r="P69" s="39"/>
      <c r="Q69" s="39"/>
      <c r="R69" s="39"/>
      <c r="S69" s="39"/>
      <c r="T69" s="39"/>
      <c r="U69" s="39"/>
      <c r="V69" s="39"/>
      <c r="W69" s="39"/>
    </row>
    <row r="70" spans="1:23" ht="11.25" customHeight="1" x14ac:dyDescent="0.2">
      <c r="A70" s="410" t="str">
        <f>'Org structure'!E65</f>
        <v>6.8 - Disaster Management</v>
      </c>
      <c r="B70" s="448"/>
      <c r="C70" s="749"/>
      <c r="D70" s="750">
        <v>0</v>
      </c>
      <c r="E70" s="751">
        <v>0</v>
      </c>
      <c r="F70" s="752">
        <v>0</v>
      </c>
      <c r="G70" s="751">
        <v>0</v>
      </c>
      <c r="H70" s="752">
        <v>0</v>
      </c>
      <c r="I70" s="45">
        <f t="shared" si="1"/>
        <v>0</v>
      </c>
      <c r="J70" s="333" t="str">
        <f t="shared" si="2"/>
        <v/>
      </c>
      <c r="K70" s="753">
        <f t="shared" si="10"/>
        <v>0</v>
      </c>
      <c r="L70" s="427"/>
      <c r="M70" s="39"/>
      <c r="N70" s="39"/>
      <c r="O70" s="39"/>
      <c r="P70" s="39"/>
      <c r="Q70" s="39"/>
      <c r="R70" s="39"/>
      <c r="S70" s="39"/>
      <c r="T70" s="39"/>
      <c r="U70" s="39"/>
      <c r="V70" s="39"/>
      <c r="W70" s="39"/>
    </row>
    <row r="71" spans="1:23" ht="11.25" customHeight="1" x14ac:dyDescent="0.2">
      <c r="A71" s="410" t="str">
        <f>'Org structure'!E66</f>
        <v>6.9 - Health Services</v>
      </c>
      <c r="B71" s="448"/>
      <c r="C71" s="749"/>
      <c r="D71" s="750">
        <v>0</v>
      </c>
      <c r="E71" s="751">
        <v>0</v>
      </c>
      <c r="F71" s="752">
        <v>0</v>
      </c>
      <c r="G71" s="751">
        <v>0</v>
      </c>
      <c r="H71" s="752">
        <v>0</v>
      </c>
      <c r="I71" s="45">
        <f t="shared" ref="I71:I134" si="11">G71-H71</f>
        <v>0</v>
      </c>
      <c r="J71" s="333" t="str">
        <f t="shared" ref="J71:J134" si="12">IF(I71=0,"",I71/H71)</f>
        <v/>
      </c>
      <c r="K71" s="753">
        <f t="shared" si="10"/>
        <v>0</v>
      </c>
      <c r="L71" s="427"/>
      <c r="M71" s="39"/>
      <c r="N71" s="39"/>
      <c r="O71" s="39"/>
      <c r="P71" s="39"/>
      <c r="Q71" s="39"/>
      <c r="R71" s="39"/>
      <c r="S71" s="39"/>
      <c r="T71" s="39"/>
      <c r="U71" s="39"/>
      <c r="V71" s="39"/>
      <c r="W71" s="39"/>
    </row>
    <row r="72" spans="1:23" ht="11.25" customHeight="1" x14ac:dyDescent="0.2">
      <c r="A72" s="410" t="str">
        <f>'Org structure'!E67</f>
        <v xml:space="preserve">6.10 - </v>
      </c>
      <c r="B72" s="448"/>
      <c r="C72" s="749"/>
      <c r="D72" s="750">
        <v>0</v>
      </c>
      <c r="E72" s="751">
        <v>0</v>
      </c>
      <c r="F72" s="752">
        <v>0</v>
      </c>
      <c r="G72" s="751">
        <v>0</v>
      </c>
      <c r="H72" s="752">
        <v>0</v>
      </c>
      <c r="I72" s="45">
        <f t="shared" si="11"/>
        <v>0</v>
      </c>
      <c r="J72" s="333" t="str">
        <f t="shared" si="12"/>
        <v/>
      </c>
      <c r="K72" s="753">
        <f t="shared" si="10"/>
        <v>0</v>
      </c>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3">SUM(C74:C83)</f>
        <v>0</v>
      </c>
      <c r="D73" s="447">
        <f t="shared" si="13"/>
        <v>0</v>
      </c>
      <c r="E73" s="444">
        <f t="shared" si="13"/>
        <v>0</v>
      </c>
      <c r="F73" s="446">
        <f t="shared" si="13"/>
        <v>0</v>
      </c>
      <c r="G73" s="444">
        <f t="shared" si="13"/>
        <v>0</v>
      </c>
      <c r="H73" s="446">
        <f t="shared" si="13"/>
        <v>0</v>
      </c>
      <c r="I73" s="45">
        <f t="shared" si="11"/>
        <v>0</v>
      </c>
      <c r="J73" s="333" t="str">
        <f t="shared" si="12"/>
        <v/>
      </c>
      <c r="K73" s="445">
        <f t="shared" si="13"/>
        <v>0</v>
      </c>
      <c r="L73" s="427"/>
      <c r="M73" s="39"/>
      <c r="N73" s="39"/>
      <c r="O73" s="39"/>
      <c r="P73" s="39"/>
      <c r="Q73" s="39"/>
      <c r="R73" s="39"/>
      <c r="S73" s="39"/>
      <c r="T73" s="39"/>
      <c r="U73" s="39"/>
      <c r="V73" s="39"/>
      <c r="W73" s="39"/>
    </row>
    <row r="74" spans="1:23" ht="11.25" customHeight="1" x14ac:dyDescent="0.2">
      <c r="A74" s="410" t="str">
        <f>'Org structure'!E69</f>
        <v>7.1 - Corporate and Shared Services</v>
      </c>
      <c r="B74" s="448"/>
      <c r="C74" s="749"/>
      <c r="D74" s="750">
        <v>0</v>
      </c>
      <c r="E74" s="751">
        <v>0</v>
      </c>
      <c r="F74" s="752">
        <v>0</v>
      </c>
      <c r="G74" s="751">
        <v>0</v>
      </c>
      <c r="H74" s="752">
        <v>0</v>
      </c>
      <c r="I74" s="45">
        <f t="shared" si="11"/>
        <v>0</v>
      </c>
      <c r="J74" s="333" t="str">
        <f t="shared" si="12"/>
        <v/>
      </c>
      <c r="K74" s="753">
        <f t="shared" ref="K74:K83" si="14">D74</f>
        <v>0</v>
      </c>
      <c r="L74" s="427"/>
      <c r="M74" s="39"/>
      <c r="N74" s="39"/>
      <c r="O74" s="39"/>
      <c r="P74" s="39"/>
      <c r="Q74" s="39"/>
      <c r="R74" s="39"/>
      <c r="S74" s="39"/>
      <c r="T74" s="39"/>
      <c r="U74" s="39"/>
      <c r="V74" s="39"/>
      <c r="W74" s="39"/>
    </row>
    <row r="75" spans="1:23" ht="11.25" customHeight="1" x14ac:dyDescent="0.2">
      <c r="A75" s="410" t="str">
        <f>'Org structure'!E70</f>
        <v>7.2 - Information Services</v>
      </c>
      <c r="B75" s="448"/>
      <c r="C75" s="749"/>
      <c r="D75" s="750">
        <v>0</v>
      </c>
      <c r="E75" s="751">
        <v>0</v>
      </c>
      <c r="F75" s="752">
        <v>0</v>
      </c>
      <c r="G75" s="751">
        <v>0</v>
      </c>
      <c r="H75" s="752">
        <v>0</v>
      </c>
      <c r="I75" s="45">
        <f t="shared" si="11"/>
        <v>0</v>
      </c>
      <c r="J75" s="333" t="str">
        <f t="shared" si="12"/>
        <v/>
      </c>
      <c r="K75" s="753">
        <f t="shared" si="14"/>
        <v>0</v>
      </c>
      <c r="L75" s="427"/>
      <c r="M75" s="39"/>
      <c r="N75" s="39"/>
      <c r="O75" s="39"/>
      <c r="P75" s="39"/>
      <c r="Q75" s="39"/>
      <c r="R75" s="39"/>
      <c r="S75" s="39"/>
      <c r="T75" s="39"/>
      <c r="U75" s="39"/>
      <c r="V75" s="39"/>
      <c r="W75" s="39"/>
    </row>
    <row r="76" spans="1:23" ht="11.25" customHeight="1" x14ac:dyDescent="0.2">
      <c r="A76" s="410" t="str">
        <f>'Org structure'!E71</f>
        <v>7.3 - Occupational Health and Safety</v>
      </c>
      <c r="B76" s="448"/>
      <c r="C76" s="749"/>
      <c r="D76" s="750">
        <v>0</v>
      </c>
      <c r="E76" s="751">
        <v>0</v>
      </c>
      <c r="F76" s="752">
        <v>0</v>
      </c>
      <c r="G76" s="751">
        <v>0</v>
      </c>
      <c r="H76" s="752">
        <v>0</v>
      </c>
      <c r="I76" s="45">
        <f t="shared" si="11"/>
        <v>0</v>
      </c>
      <c r="J76" s="333" t="str">
        <f t="shared" si="12"/>
        <v/>
      </c>
      <c r="K76" s="753">
        <f t="shared" si="14"/>
        <v>0</v>
      </c>
      <c r="L76" s="427"/>
      <c r="M76" s="39"/>
      <c r="N76" s="39"/>
      <c r="O76" s="39"/>
      <c r="P76" s="39"/>
      <c r="Q76" s="39"/>
      <c r="R76" s="39"/>
      <c r="S76" s="39"/>
      <c r="T76" s="39"/>
      <c r="U76" s="39"/>
      <c r="V76" s="39"/>
      <c r="W76" s="39"/>
    </row>
    <row r="77" spans="1:23" ht="11.25" customHeight="1" x14ac:dyDescent="0.2">
      <c r="A77" s="410" t="str">
        <f>'Org structure'!E72</f>
        <v>7.4 - Fleet Management</v>
      </c>
      <c r="B77" s="448"/>
      <c r="C77" s="749"/>
      <c r="D77" s="750">
        <v>0</v>
      </c>
      <c r="E77" s="751">
        <v>0</v>
      </c>
      <c r="F77" s="752">
        <v>0</v>
      </c>
      <c r="G77" s="751">
        <v>0</v>
      </c>
      <c r="H77" s="752">
        <v>0</v>
      </c>
      <c r="I77" s="45">
        <f t="shared" si="11"/>
        <v>0</v>
      </c>
      <c r="J77" s="333" t="str">
        <f t="shared" si="12"/>
        <v/>
      </c>
      <c r="K77" s="753">
        <f t="shared" si="14"/>
        <v>0</v>
      </c>
      <c r="L77" s="427"/>
      <c r="M77" s="39"/>
      <c r="N77" s="39"/>
      <c r="O77" s="39"/>
      <c r="P77" s="39"/>
      <c r="Q77" s="39"/>
      <c r="R77" s="39"/>
      <c r="S77" s="39"/>
      <c r="T77" s="39"/>
      <c r="U77" s="39"/>
      <c r="V77" s="39"/>
      <c r="W77" s="39"/>
    </row>
    <row r="78" spans="1:23" ht="11.25" customHeight="1" x14ac:dyDescent="0.2">
      <c r="A78" s="410" t="str">
        <f>'Org structure'!E73</f>
        <v>7.5 - Human Resources Management</v>
      </c>
      <c r="B78" s="448"/>
      <c r="C78" s="749"/>
      <c r="D78" s="750">
        <v>0</v>
      </c>
      <c r="E78" s="751">
        <v>0</v>
      </c>
      <c r="F78" s="752">
        <v>0</v>
      </c>
      <c r="G78" s="751">
        <v>0</v>
      </c>
      <c r="H78" s="752">
        <v>0</v>
      </c>
      <c r="I78" s="45">
        <f t="shared" si="11"/>
        <v>0</v>
      </c>
      <c r="J78" s="333" t="str">
        <f t="shared" si="12"/>
        <v/>
      </c>
      <c r="K78" s="753">
        <f t="shared" si="14"/>
        <v>0</v>
      </c>
      <c r="L78" s="427"/>
      <c r="M78" s="39"/>
      <c r="N78" s="39"/>
      <c r="O78" s="39"/>
      <c r="P78" s="39"/>
      <c r="Q78" s="39"/>
      <c r="R78" s="39"/>
      <c r="S78" s="39"/>
      <c r="T78" s="39"/>
      <c r="U78" s="39"/>
      <c r="V78" s="39"/>
      <c r="W78" s="39"/>
    </row>
    <row r="79" spans="1:23" ht="11.25" customHeight="1" x14ac:dyDescent="0.2">
      <c r="A79" s="410" t="str">
        <f>'Org structure'!E74</f>
        <v>7.6 - Human Resources Admin</v>
      </c>
      <c r="B79" s="448"/>
      <c r="C79" s="749"/>
      <c r="D79" s="750">
        <v>0</v>
      </c>
      <c r="E79" s="751">
        <v>0</v>
      </c>
      <c r="F79" s="752">
        <v>0</v>
      </c>
      <c r="G79" s="751">
        <v>0</v>
      </c>
      <c r="H79" s="752">
        <v>0</v>
      </c>
      <c r="I79" s="45">
        <f t="shared" si="11"/>
        <v>0</v>
      </c>
      <c r="J79" s="333" t="str">
        <f t="shared" si="12"/>
        <v/>
      </c>
      <c r="K79" s="753">
        <f t="shared" si="14"/>
        <v>0</v>
      </c>
      <c r="L79" s="449"/>
      <c r="M79" s="41"/>
      <c r="N79" s="41"/>
      <c r="O79" s="41"/>
      <c r="P79" s="41"/>
      <c r="Q79" s="41"/>
      <c r="R79" s="41"/>
      <c r="S79" s="41"/>
      <c r="T79" s="41"/>
      <c r="U79" s="41"/>
      <c r="V79" s="41"/>
      <c r="W79" s="41"/>
    </row>
    <row r="80" spans="1:23" ht="11.25" customHeight="1" x14ac:dyDescent="0.2">
      <c r="A80" s="410" t="str">
        <f>'Org structure'!E75</f>
        <v>7.7 - Human Resources Development</v>
      </c>
      <c r="B80" s="448"/>
      <c r="C80" s="749"/>
      <c r="D80" s="750">
        <v>0</v>
      </c>
      <c r="E80" s="751">
        <v>0</v>
      </c>
      <c r="F80" s="752">
        <v>0</v>
      </c>
      <c r="G80" s="751">
        <v>0</v>
      </c>
      <c r="H80" s="752">
        <v>0</v>
      </c>
      <c r="I80" s="45">
        <f t="shared" si="11"/>
        <v>0</v>
      </c>
      <c r="J80" s="333" t="str">
        <f t="shared" si="12"/>
        <v/>
      </c>
      <c r="K80" s="753">
        <f t="shared" si="14"/>
        <v>0</v>
      </c>
      <c r="L80" s="449"/>
      <c r="M80" s="41"/>
      <c r="N80" s="41"/>
      <c r="O80" s="41"/>
      <c r="P80" s="41"/>
      <c r="Q80" s="41"/>
      <c r="R80" s="41"/>
      <c r="S80" s="41"/>
      <c r="T80" s="41"/>
      <c r="U80" s="41"/>
      <c r="V80" s="41"/>
      <c r="W80" s="41"/>
    </row>
    <row r="81" spans="1:23" ht="11.25" customHeight="1" x14ac:dyDescent="0.2">
      <c r="A81" s="410" t="str">
        <f>'Org structure'!E76</f>
        <v xml:space="preserve">7.8 - </v>
      </c>
      <c r="B81" s="448"/>
      <c r="C81" s="749"/>
      <c r="D81" s="750">
        <v>0</v>
      </c>
      <c r="E81" s="751">
        <v>0</v>
      </c>
      <c r="F81" s="752">
        <v>0</v>
      </c>
      <c r="G81" s="751">
        <v>0</v>
      </c>
      <c r="H81" s="752">
        <v>0</v>
      </c>
      <c r="I81" s="45">
        <f t="shared" si="11"/>
        <v>0</v>
      </c>
      <c r="J81" s="333" t="str">
        <f t="shared" si="12"/>
        <v/>
      </c>
      <c r="K81" s="753">
        <f t="shared" si="14"/>
        <v>0</v>
      </c>
      <c r="L81" s="449"/>
      <c r="M81" s="41"/>
      <c r="N81" s="41"/>
      <c r="O81" s="41"/>
      <c r="P81" s="41"/>
      <c r="Q81" s="41"/>
      <c r="R81" s="41"/>
      <c r="S81" s="41"/>
      <c r="T81" s="41"/>
      <c r="U81" s="41"/>
      <c r="V81" s="41"/>
      <c r="W81" s="41"/>
    </row>
    <row r="82" spans="1:23" ht="11.25" customHeight="1" x14ac:dyDescent="0.2">
      <c r="A82" s="410" t="str">
        <f>'Org structure'!E77</f>
        <v xml:space="preserve">7.9 - </v>
      </c>
      <c r="B82" s="448"/>
      <c r="C82" s="749"/>
      <c r="D82" s="750">
        <v>0</v>
      </c>
      <c r="E82" s="751">
        <v>0</v>
      </c>
      <c r="F82" s="752">
        <v>0</v>
      </c>
      <c r="G82" s="751">
        <v>0</v>
      </c>
      <c r="H82" s="752">
        <v>0</v>
      </c>
      <c r="I82" s="45">
        <f t="shared" si="11"/>
        <v>0</v>
      </c>
      <c r="J82" s="333" t="str">
        <f t="shared" si="12"/>
        <v/>
      </c>
      <c r="K82" s="753">
        <f t="shared" si="14"/>
        <v>0</v>
      </c>
      <c r="L82" s="449"/>
      <c r="M82" s="41"/>
      <c r="N82" s="41"/>
      <c r="O82" s="41"/>
      <c r="P82" s="41"/>
      <c r="Q82" s="41"/>
      <c r="R82" s="41"/>
      <c r="S82" s="41"/>
      <c r="T82" s="41"/>
      <c r="U82" s="41"/>
      <c r="V82" s="41"/>
      <c r="W82" s="41"/>
    </row>
    <row r="83" spans="1:23" ht="11.25" customHeight="1" x14ac:dyDescent="0.2">
      <c r="A83" s="410" t="str">
        <f>'Org structure'!E78</f>
        <v xml:space="preserve">7.10 - </v>
      </c>
      <c r="B83" s="448"/>
      <c r="C83" s="749"/>
      <c r="D83" s="750">
        <v>0</v>
      </c>
      <c r="E83" s="751">
        <v>0</v>
      </c>
      <c r="F83" s="752">
        <v>0</v>
      </c>
      <c r="G83" s="751">
        <v>0</v>
      </c>
      <c r="H83" s="752">
        <v>0</v>
      </c>
      <c r="I83" s="45">
        <f t="shared" si="11"/>
        <v>0</v>
      </c>
      <c r="J83" s="333" t="str">
        <f t="shared" si="12"/>
        <v/>
      </c>
      <c r="K83" s="753">
        <f t="shared" si="14"/>
        <v>0</v>
      </c>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5">SUM(D85:D94)</f>
        <v>0</v>
      </c>
      <c r="E84" s="444">
        <f t="shared" si="15"/>
        <v>0</v>
      </c>
      <c r="F84" s="446">
        <f t="shared" si="15"/>
        <v>0</v>
      </c>
      <c r="G84" s="444">
        <f t="shared" si="15"/>
        <v>0</v>
      </c>
      <c r="H84" s="446">
        <f t="shared" si="15"/>
        <v>0</v>
      </c>
      <c r="I84" s="45">
        <f t="shared" si="11"/>
        <v>0</v>
      </c>
      <c r="J84" s="333" t="str">
        <f t="shared" si="12"/>
        <v/>
      </c>
      <c r="K84" s="445">
        <f t="shared" si="15"/>
        <v>0</v>
      </c>
      <c r="L84" s="449"/>
      <c r="M84" s="41"/>
      <c r="N84" s="41"/>
      <c r="O84" s="41"/>
      <c r="P84" s="41"/>
      <c r="Q84" s="41"/>
      <c r="R84" s="41"/>
      <c r="S84" s="41"/>
      <c r="T84" s="41"/>
      <c r="U84" s="41"/>
      <c r="V84" s="41"/>
      <c r="W84" s="41"/>
    </row>
    <row r="85" spans="1:23" ht="11.25" customHeight="1" x14ac:dyDescent="0.2">
      <c r="A85" s="410" t="str">
        <f>'Org structure'!E80</f>
        <v>8.1 - Directorate Planning and Development</v>
      </c>
      <c r="B85" s="448"/>
      <c r="C85" s="749"/>
      <c r="D85" s="750">
        <v>0</v>
      </c>
      <c r="E85" s="751">
        <v>0</v>
      </c>
      <c r="F85" s="752">
        <v>0</v>
      </c>
      <c r="G85" s="751">
        <v>0</v>
      </c>
      <c r="H85" s="752">
        <v>0</v>
      </c>
      <c r="I85" s="45">
        <f t="shared" si="11"/>
        <v>0</v>
      </c>
      <c r="J85" s="333" t="str">
        <f t="shared" si="12"/>
        <v/>
      </c>
      <c r="K85" s="753">
        <f t="shared" ref="K85:K94" si="16">D85</f>
        <v>0</v>
      </c>
      <c r="L85" s="449"/>
      <c r="M85" s="41"/>
      <c r="N85" s="41"/>
      <c r="O85" s="41"/>
      <c r="P85" s="41"/>
      <c r="Q85" s="41"/>
      <c r="R85" s="41"/>
      <c r="S85" s="41"/>
      <c r="T85" s="41"/>
      <c r="U85" s="41"/>
      <c r="V85" s="41"/>
      <c r="W85" s="41"/>
    </row>
    <row r="86" spans="1:23" ht="11.25" customHeight="1" x14ac:dyDescent="0.2">
      <c r="A86" s="410" t="str">
        <f>'Org structure'!E81</f>
        <v>8.2 - Property Services</v>
      </c>
      <c r="B86" s="448"/>
      <c r="C86" s="749"/>
      <c r="D86" s="750">
        <v>0</v>
      </c>
      <c r="E86" s="751">
        <v>0</v>
      </c>
      <c r="F86" s="752">
        <v>0</v>
      </c>
      <c r="G86" s="751">
        <v>0</v>
      </c>
      <c r="H86" s="752">
        <v>0</v>
      </c>
      <c r="I86" s="45">
        <f t="shared" si="11"/>
        <v>0</v>
      </c>
      <c r="J86" s="333" t="str">
        <f t="shared" si="12"/>
        <v/>
      </c>
      <c r="K86" s="753">
        <f t="shared" si="16"/>
        <v>0</v>
      </c>
      <c r="L86" s="449"/>
      <c r="M86" s="41"/>
      <c r="N86" s="41"/>
      <c r="O86" s="41"/>
      <c r="P86" s="41"/>
      <c r="Q86" s="41"/>
      <c r="R86" s="41"/>
      <c r="S86" s="41"/>
      <c r="T86" s="41"/>
      <c r="U86" s="41"/>
      <c r="V86" s="41"/>
      <c r="W86" s="41"/>
    </row>
    <row r="87" spans="1:23" ht="11.25" customHeight="1" x14ac:dyDescent="0.2">
      <c r="A87" s="410" t="str">
        <f>'Org structure'!E82</f>
        <v>8.3 - City and Regional Planning</v>
      </c>
      <c r="B87" s="448"/>
      <c r="C87" s="749"/>
      <c r="D87" s="750">
        <v>0</v>
      </c>
      <c r="E87" s="751">
        <v>0</v>
      </c>
      <c r="F87" s="752">
        <v>0</v>
      </c>
      <c r="G87" s="751">
        <v>0</v>
      </c>
      <c r="H87" s="752">
        <v>0</v>
      </c>
      <c r="I87" s="45">
        <f t="shared" si="11"/>
        <v>0</v>
      </c>
      <c r="J87" s="333" t="str">
        <f t="shared" si="12"/>
        <v/>
      </c>
      <c r="K87" s="753">
        <f t="shared" si="16"/>
        <v>0</v>
      </c>
      <c r="L87" s="449"/>
      <c r="M87" s="41"/>
      <c r="N87" s="41"/>
      <c r="O87" s="41"/>
      <c r="P87" s="41"/>
      <c r="Q87" s="41"/>
      <c r="R87" s="41"/>
      <c r="S87" s="41"/>
      <c r="T87" s="41"/>
      <c r="U87" s="41"/>
      <c r="V87" s="41"/>
      <c r="W87" s="41"/>
    </row>
    <row r="88" spans="1:23" ht="11.25" customHeight="1" x14ac:dyDescent="0.2">
      <c r="A88" s="410" t="str">
        <f>'Org structure'!E83</f>
        <v>8.4 - Corporate Geo Information</v>
      </c>
      <c r="B88" s="448"/>
      <c r="C88" s="749"/>
      <c r="D88" s="750">
        <v>0</v>
      </c>
      <c r="E88" s="751">
        <v>0</v>
      </c>
      <c r="F88" s="752">
        <v>0</v>
      </c>
      <c r="G88" s="751">
        <v>0</v>
      </c>
      <c r="H88" s="752">
        <v>0</v>
      </c>
      <c r="I88" s="45">
        <f t="shared" si="11"/>
        <v>0</v>
      </c>
      <c r="J88" s="333" t="str">
        <f t="shared" si="12"/>
        <v/>
      </c>
      <c r="K88" s="753">
        <f t="shared" si="16"/>
        <v>0</v>
      </c>
      <c r="L88" s="449"/>
      <c r="M88" s="41"/>
      <c r="N88" s="41"/>
      <c r="O88" s="41"/>
      <c r="P88" s="41"/>
      <c r="Q88" s="41"/>
      <c r="R88" s="41"/>
      <c r="S88" s="41"/>
      <c r="T88" s="41"/>
      <c r="U88" s="41"/>
      <c r="V88" s="41"/>
      <c r="W88" s="41"/>
    </row>
    <row r="89" spans="1:23" ht="11.25" customHeight="1" x14ac:dyDescent="0.2">
      <c r="A89" s="410" t="str">
        <f>'Org structure'!E84</f>
        <v>8.5 - Building Inspectorate</v>
      </c>
      <c r="B89" s="448"/>
      <c r="C89" s="749"/>
      <c r="D89" s="750">
        <v>0</v>
      </c>
      <c r="E89" s="751">
        <v>0</v>
      </c>
      <c r="F89" s="752">
        <v>0</v>
      </c>
      <c r="G89" s="751">
        <v>0</v>
      </c>
      <c r="H89" s="752">
        <v>0</v>
      </c>
      <c r="I89" s="45">
        <f t="shared" si="11"/>
        <v>0</v>
      </c>
      <c r="J89" s="333" t="str">
        <f t="shared" si="12"/>
        <v/>
      </c>
      <c r="K89" s="753">
        <f t="shared" si="16"/>
        <v>0</v>
      </c>
      <c r="L89" s="449"/>
      <c r="M89" s="41"/>
      <c r="N89" s="41"/>
      <c r="O89" s="41"/>
      <c r="P89" s="41"/>
      <c r="Q89" s="41"/>
      <c r="R89" s="41"/>
      <c r="S89" s="41"/>
      <c r="T89" s="41"/>
      <c r="U89" s="41"/>
      <c r="V89" s="41"/>
      <c r="W89" s="41"/>
    </row>
    <row r="90" spans="1:23" ht="11.25" customHeight="1" x14ac:dyDescent="0.2">
      <c r="A90" s="410" t="str">
        <f>'Org structure'!E85</f>
        <v>8.6 - Economic Development and Tourism</v>
      </c>
      <c r="B90" s="448"/>
      <c r="C90" s="749"/>
      <c r="D90" s="750">
        <v>0</v>
      </c>
      <c r="E90" s="751">
        <v>0</v>
      </c>
      <c r="F90" s="752">
        <v>0</v>
      </c>
      <c r="G90" s="751">
        <v>0</v>
      </c>
      <c r="H90" s="752">
        <v>0</v>
      </c>
      <c r="I90" s="45">
        <f t="shared" si="11"/>
        <v>0</v>
      </c>
      <c r="J90" s="333" t="str">
        <f t="shared" si="12"/>
        <v/>
      </c>
      <c r="K90" s="753">
        <f t="shared" si="16"/>
        <v>0</v>
      </c>
      <c r="L90" s="449"/>
      <c r="M90" s="41"/>
      <c r="N90" s="41"/>
      <c r="O90" s="41"/>
      <c r="P90" s="41"/>
      <c r="Q90" s="41"/>
      <c r="R90" s="41"/>
      <c r="S90" s="41"/>
      <c r="T90" s="41"/>
      <c r="U90" s="41"/>
      <c r="V90" s="41"/>
      <c r="W90" s="41"/>
    </row>
    <row r="91" spans="1:23" ht="11.25" customHeight="1" x14ac:dyDescent="0.2">
      <c r="A91" s="410" t="str">
        <f>'Org structure'!E86</f>
        <v>8.7 - Local Economic Development</v>
      </c>
      <c r="B91" s="448"/>
      <c r="C91" s="749"/>
      <c r="D91" s="750">
        <v>0</v>
      </c>
      <c r="E91" s="751">
        <v>0</v>
      </c>
      <c r="F91" s="752">
        <v>0</v>
      </c>
      <c r="G91" s="751">
        <v>0</v>
      </c>
      <c r="H91" s="752">
        <v>0</v>
      </c>
      <c r="I91" s="45">
        <f t="shared" si="11"/>
        <v>0</v>
      </c>
      <c r="J91" s="333" t="str">
        <f t="shared" si="12"/>
        <v/>
      </c>
      <c r="K91" s="753">
        <f t="shared" si="16"/>
        <v>0</v>
      </c>
      <c r="L91" s="449"/>
      <c r="M91" s="41"/>
      <c r="N91" s="41"/>
      <c r="O91" s="41"/>
      <c r="P91" s="41"/>
      <c r="Q91" s="41"/>
      <c r="R91" s="41"/>
      <c r="S91" s="41"/>
      <c r="T91" s="41"/>
      <c r="U91" s="41"/>
      <c r="V91" s="41"/>
      <c r="W91" s="41"/>
    </row>
    <row r="92" spans="1:23" ht="11.25" customHeight="1" x14ac:dyDescent="0.2">
      <c r="A92" s="410" t="str">
        <f>'Org structure'!E87</f>
        <v>8.8 - Investment Promotion</v>
      </c>
      <c r="B92" s="448"/>
      <c r="C92" s="749"/>
      <c r="D92" s="750">
        <v>0</v>
      </c>
      <c r="E92" s="751">
        <v>0</v>
      </c>
      <c r="F92" s="752">
        <v>0</v>
      </c>
      <c r="G92" s="751">
        <v>0</v>
      </c>
      <c r="H92" s="752">
        <v>0</v>
      </c>
      <c r="I92" s="45">
        <f t="shared" si="11"/>
        <v>0</v>
      </c>
      <c r="J92" s="333" t="str">
        <f t="shared" si="12"/>
        <v/>
      </c>
      <c r="K92" s="753">
        <f t="shared" si="16"/>
        <v>0</v>
      </c>
      <c r="L92" s="449"/>
      <c r="M92" s="41"/>
      <c r="N92" s="41"/>
      <c r="O92" s="41"/>
      <c r="P92" s="41"/>
      <c r="Q92" s="41"/>
      <c r="R92" s="41"/>
      <c r="S92" s="41"/>
      <c r="T92" s="41"/>
      <c r="U92" s="41"/>
      <c r="V92" s="41"/>
      <c r="W92" s="41"/>
    </row>
    <row r="93" spans="1:23" ht="11.25" customHeight="1" x14ac:dyDescent="0.2">
      <c r="A93" s="410" t="str">
        <f>'Org structure'!E88</f>
        <v>8.9 - LED (Economic Planning)</v>
      </c>
      <c r="B93" s="448"/>
      <c r="C93" s="749"/>
      <c r="D93" s="750">
        <v>0</v>
      </c>
      <c r="E93" s="751">
        <v>0</v>
      </c>
      <c r="F93" s="752">
        <v>0</v>
      </c>
      <c r="G93" s="751">
        <v>0</v>
      </c>
      <c r="H93" s="752">
        <v>0</v>
      </c>
      <c r="I93" s="45">
        <f t="shared" si="11"/>
        <v>0</v>
      </c>
      <c r="J93" s="333" t="str">
        <f t="shared" si="12"/>
        <v/>
      </c>
      <c r="K93" s="753">
        <f t="shared" si="16"/>
        <v>0</v>
      </c>
      <c r="L93" s="449"/>
      <c r="M93" s="41"/>
      <c r="N93" s="41"/>
      <c r="O93" s="41"/>
      <c r="P93" s="41"/>
      <c r="Q93" s="41"/>
      <c r="R93" s="41"/>
      <c r="S93" s="41"/>
      <c r="T93" s="41"/>
      <c r="U93" s="41"/>
      <c r="V93" s="41"/>
      <c r="W93" s="41"/>
    </row>
    <row r="94" spans="1:23" ht="11.25" customHeight="1" x14ac:dyDescent="0.2">
      <c r="A94" s="410" t="str">
        <f>'Org structure'!E89</f>
        <v>8.10 - Other Planning and Economic Development</v>
      </c>
      <c r="B94" s="448"/>
      <c r="C94" s="749"/>
      <c r="D94" s="750">
        <v>0</v>
      </c>
      <c r="E94" s="751">
        <v>0</v>
      </c>
      <c r="F94" s="752">
        <v>0</v>
      </c>
      <c r="G94" s="751">
        <v>0</v>
      </c>
      <c r="H94" s="752">
        <v>0</v>
      </c>
      <c r="I94" s="45">
        <f t="shared" si="11"/>
        <v>0</v>
      </c>
      <c r="J94" s="333" t="str">
        <f t="shared" si="12"/>
        <v/>
      </c>
      <c r="K94" s="753">
        <f t="shared" si="16"/>
        <v>0</v>
      </c>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7">SUM(D96:D105)</f>
        <v>0</v>
      </c>
      <c r="E95" s="444">
        <f t="shared" si="17"/>
        <v>0</v>
      </c>
      <c r="F95" s="446">
        <f t="shared" si="17"/>
        <v>0</v>
      </c>
      <c r="G95" s="444">
        <f t="shared" si="17"/>
        <v>0</v>
      </c>
      <c r="H95" s="446">
        <f t="shared" si="17"/>
        <v>0</v>
      </c>
      <c r="I95" s="45">
        <f t="shared" si="11"/>
        <v>0</v>
      </c>
      <c r="J95" s="333" t="str">
        <f t="shared" si="12"/>
        <v/>
      </c>
      <c r="K95" s="445">
        <f t="shared" si="17"/>
        <v>0</v>
      </c>
      <c r="L95" s="449"/>
      <c r="M95" s="41"/>
      <c r="N95" s="41"/>
      <c r="O95" s="41"/>
      <c r="P95" s="41"/>
      <c r="Q95" s="41"/>
      <c r="R95" s="41"/>
      <c r="S95" s="41"/>
      <c r="T95" s="41"/>
      <c r="U95" s="41"/>
      <c r="V95" s="41"/>
      <c r="W95" s="41"/>
    </row>
    <row r="96" spans="1:23" ht="11.25" customHeight="1" x14ac:dyDescent="0.2">
      <c r="A96" s="410" t="str">
        <f>'Org structure'!E91</f>
        <v>9.1 - Budget and Treasury Office (Administration)</v>
      </c>
      <c r="B96" s="448"/>
      <c r="C96" s="749"/>
      <c r="D96" s="750">
        <v>0</v>
      </c>
      <c r="E96" s="751">
        <v>0</v>
      </c>
      <c r="F96" s="752">
        <v>0</v>
      </c>
      <c r="G96" s="751">
        <v>0</v>
      </c>
      <c r="H96" s="752">
        <v>0</v>
      </c>
      <c r="I96" s="45">
        <f t="shared" si="11"/>
        <v>0</v>
      </c>
      <c r="J96" s="333" t="str">
        <f t="shared" si="12"/>
        <v/>
      </c>
      <c r="K96" s="753">
        <f t="shared" ref="K96:K105" si="18">D96</f>
        <v>0</v>
      </c>
      <c r="L96" s="449"/>
      <c r="M96" s="41"/>
      <c r="N96" s="41"/>
      <c r="O96" s="41"/>
      <c r="P96" s="41"/>
      <c r="Q96" s="41"/>
      <c r="R96" s="41"/>
      <c r="S96" s="41"/>
      <c r="T96" s="41"/>
      <c r="U96" s="41"/>
      <c r="V96" s="41"/>
      <c r="W96" s="41"/>
    </row>
    <row r="97" spans="1:23" ht="11.25" customHeight="1" x14ac:dyDescent="0.2">
      <c r="A97" s="410" t="str">
        <f>'Org structure'!E92</f>
        <v>9.2 - Expenditure</v>
      </c>
      <c r="B97" s="448"/>
      <c r="C97" s="749"/>
      <c r="D97" s="750">
        <v>0</v>
      </c>
      <c r="E97" s="751">
        <v>0</v>
      </c>
      <c r="F97" s="752">
        <v>0</v>
      </c>
      <c r="G97" s="751">
        <v>0</v>
      </c>
      <c r="H97" s="752">
        <v>0</v>
      </c>
      <c r="I97" s="45">
        <f t="shared" si="11"/>
        <v>0</v>
      </c>
      <c r="J97" s="333" t="str">
        <f t="shared" si="12"/>
        <v/>
      </c>
      <c r="K97" s="753">
        <f t="shared" si="18"/>
        <v>0</v>
      </c>
      <c r="L97" s="449"/>
      <c r="M97" s="41"/>
      <c r="N97" s="41"/>
      <c r="O97" s="41"/>
      <c r="P97" s="41"/>
      <c r="Q97" s="41"/>
      <c r="R97" s="41"/>
      <c r="S97" s="41"/>
      <c r="T97" s="41"/>
      <c r="U97" s="41"/>
      <c r="V97" s="41"/>
      <c r="W97" s="41"/>
    </row>
    <row r="98" spans="1:23" ht="11.25" customHeight="1" x14ac:dyDescent="0.2">
      <c r="A98" s="410" t="str">
        <f>'Org structure'!E93</f>
        <v>9.3 - Revenue Management and Customer Care</v>
      </c>
      <c r="B98" s="448"/>
      <c r="C98" s="749"/>
      <c r="D98" s="750">
        <v>0</v>
      </c>
      <c r="E98" s="751">
        <v>0</v>
      </c>
      <c r="F98" s="752">
        <v>0</v>
      </c>
      <c r="G98" s="751">
        <v>0</v>
      </c>
      <c r="H98" s="752">
        <v>0</v>
      </c>
      <c r="I98" s="45">
        <f t="shared" si="11"/>
        <v>0</v>
      </c>
      <c r="J98" s="333" t="str">
        <f t="shared" si="12"/>
        <v/>
      </c>
      <c r="K98" s="753">
        <f t="shared" si="18"/>
        <v>0</v>
      </c>
      <c r="L98" s="449"/>
      <c r="M98" s="41"/>
      <c r="N98" s="41"/>
      <c r="O98" s="41"/>
      <c r="P98" s="41"/>
      <c r="Q98" s="41"/>
      <c r="R98" s="41"/>
      <c r="S98" s="41"/>
      <c r="T98" s="41"/>
      <c r="U98" s="41"/>
      <c r="V98" s="41"/>
      <c r="W98" s="41"/>
    </row>
    <row r="99" spans="1:23" ht="11.25" customHeight="1" x14ac:dyDescent="0.2">
      <c r="A99" s="410" t="str">
        <f>'Org structure'!E94</f>
        <v>9.4 - Supply Chain Management</v>
      </c>
      <c r="B99" s="448"/>
      <c r="C99" s="749"/>
      <c r="D99" s="750">
        <v>0</v>
      </c>
      <c r="E99" s="751">
        <v>0</v>
      </c>
      <c r="F99" s="752">
        <v>0</v>
      </c>
      <c r="G99" s="751">
        <v>0</v>
      </c>
      <c r="H99" s="752">
        <v>0</v>
      </c>
      <c r="I99" s="45">
        <f t="shared" si="11"/>
        <v>0</v>
      </c>
      <c r="J99" s="333" t="str">
        <f t="shared" si="12"/>
        <v/>
      </c>
      <c r="K99" s="753">
        <f t="shared" si="18"/>
        <v>0</v>
      </c>
      <c r="L99" s="449"/>
      <c r="M99" s="41"/>
      <c r="N99" s="41"/>
      <c r="O99" s="41"/>
      <c r="P99" s="41"/>
      <c r="Q99" s="41"/>
      <c r="R99" s="41"/>
      <c r="S99" s="41"/>
      <c r="T99" s="41"/>
      <c r="U99" s="41"/>
      <c r="V99" s="41"/>
      <c r="W99" s="41"/>
    </row>
    <row r="100" spans="1:23" ht="11.25" customHeight="1" x14ac:dyDescent="0.2">
      <c r="A100" s="410" t="str">
        <f>'Org structure'!E95</f>
        <v>9.5 - Asset Management</v>
      </c>
      <c r="B100" s="448"/>
      <c r="C100" s="749"/>
      <c r="D100" s="750">
        <v>0</v>
      </c>
      <c r="E100" s="751">
        <v>0</v>
      </c>
      <c r="F100" s="752">
        <v>0</v>
      </c>
      <c r="G100" s="751">
        <v>0</v>
      </c>
      <c r="H100" s="752">
        <v>0</v>
      </c>
      <c r="I100" s="45">
        <f t="shared" si="11"/>
        <v>0</v>
      </c>
      <c r="J100" s="333" t="str">
        <f t="shared" si="12"/>
        <v/>
      </c>
      <c r="K100" s="753">
        <f t="shared" si="18"/>
        <v>0</v>
      </c>
      <c r="L100" s="449"/>
      <c r="M100" s="41"/>
      <c r="N100" s="41"/>
      <c r="O100" s="41"/>
      <c r="P100" s="41"/>
      <c r="Q100" s="41"/>
      <c r="R100" s="41"/>
      <c r="S100" s="41"/>
      <c r="T100" s="41"/>
      <c r="U100" s="41"/>
      <c r="V100" s="41"/>
      <c r="W100" s="41"/>
    </row>
    <row r="101" spans="1:23" ht="11.25" customHeight="1" x14ac:dyDescent="0.2">
      <c r="A101" s="410" t="str">
        <f>'Org structure'!E96</f>
        <v>9.6 - Budget and Financial Reporting</v>
      </c>
      <c r="B101" s="448"/>
      <c r="C101" s="749"/>
      <c r="D101" s="750">
        <v>0</v>
      </c>
      <c r="E101" s="751">
        <v>0</v>
      </c>
      <c r="F101" s="752">
        <v>0</v>
      </c>
      <c r="G101" s="751">
        <v>0</v>
      </c>
      <c r="H101" s="752">
        <v>0</v>
      </c>
      <c r="I101" s="45">
        <f t="shared" si="11"/>
        <v>0</v>
      </c>
      <c r="J101" s="333" t="str">
        <f t="shared" si="12"/>
        <v/>
      </c>
      <c r="K101" s="753">
        <f t="shared" si="18"/>
        <v>0</v>
      </c>
      <c r="L101" s="449"/>
      <c r="M101" s="41"/>
      <c r="N101" s="41"/>
      <c r="O101" s="41"/>
      <c r="P101" s="41"/>
      <c r="Q101" s="41"/>
      <c r="R101" s="41"/>
      <c r="S101" s="41"/>
      <c r="T101" s="41"/>
      <c r="U101" s="41"/>
      <c r="V101" s="41"/>
      <c r="W101" s="41"/>
    </row>
    <row r="102" spans="1:23" ht="11.25" customHeight="1" x14ac:dyDescent="0.2">
      <c r="A102" s="410" t="str">
        <f>'Org structure'!E97</f>
        <v>9.7 - Business and Financial Planning</v>
      </c>
      <c r="B102" s="448"/>
      <c r="C102" s="749"/>
      <c r="D102" s="750">
        <v>0</v>
      </c>
      <c r="E102" s="751">
        <v>0</v>
      </c>
      <c r="F102" s="752">
        <v>0</v>
      </c>
      <c r="G102" s="751">
        <v>0</v>
      </c>
      <c r="H102" s="752">
        <v>0</v>
      </c>
      <c r="I102" s="45">
        <f t="shared" si="11"/>
        <v>0</v>
      </c>
      <c r="J102" s="333" t="str">
        <f t="shared" si="12"/>
        <v/>
      </c>
      <c r="K102" s="753">
        <f t="shared" si="18"/>
        <v>0</v>
      </c>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v>0</v>
      </c>
      <c r="E103" s="751">
        <v>0</v>
      </c>
      <c r="F103" s="752">
        <v>0</v>
      </c>
      <c r="G103" s="751">
        <v>0</v>
      </c>
      <c r="H103" s="752">
        <v>0</v>
      </c>
      <c r="I103" s="45">
        <f t="shared" si="11"/>
        <v>0</v>
      </c>
      <c r="J103" s="333" t="str">
        <f t="shared" si="12"/>
        <v/>
      </c>
      <c r="K103" s="753">
        <f t="shared" si="18"/>
        <v>0</v>
      </c>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v>0</v>
      </c>
      <c r="E104" s="751">
        <v>0</v>
      </c>
      <c r="F104" s="752">
        <v>0</v>
      </c>
      <c r="G104" s="751">
        <v>0</v>
      </c>
      <c r="H104" s="752">
        <v>0</v>
      </c>
      <c r="I104" s="45">
        <f t="shared" si="11"/>
        <v>0</v>
      </c>
      <c r="J104" s="333" t="str">
        <f t="shared" si="12"/>
        <v/>
      </c>
      <c r="K104" s="753">
        <f t="shared" si="18"/>
        <v>0</v>
      </c>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v>0</v>
      </c>
      <c r="E105" s="751">
        <v>0</v>
      </c>
      <c r="F105" s="752">
        <v>0</v>
      </c>
      <c r="G105" s="751">
        <v>0</v>
      </c>
      <c r="H105" s="752">
        <v>0</v>
      </c>
      <c r="I105" s="45">
        <f t="shared" si="11"/>
        <v>0</v>
      </c>
      <c r="J105" s="333" t="str">
        <f t="shared" si="12"/>
        <v/>
      </c>
      <c r="K105" s="753">
        <f t="shared" si="18"/>
        <v>0</v>
      </c>
      <c r="L105" s="449"/>
      <c r="M105" s="41"/>
      <c r="N105" s="41"/>
      <c r="O105" s="41"/>
      <c r="P105" s="41"/>
      <c r="Q105" s="41"/>
      <c r="R105" s="41"/>
      <c r="S105" s="41"/>
      <c r="T105" s="41"/>
      <c r="U105" s="41"/>
      <c r="V105" s="41"/>
      <c r="W105" s="41"/>
    </row>
    <row r="106" spans="1:23" ht="11.25" customHeight="1" x14ac:dyDescent="0.2">
      <c r="A106" s="469" t="str">
        <f>'Org structure'!A11</f>
        <v>Vote 10 - Transport Services</v>
      </c>
      <c r="B106" s="448"/>
      <c r="C106" s="506">
        <f>SUM(C107:C116)</f>
        <v>0</v>
      </c>
      <c r="D106" s="447">
        <f t="shared" ref="D106:K106" si="19">SUM(D107:D116)</f>
        <v>0</v>
      </c>
      <c r="E106" s="444">
        <f t="shared" si="19"/>
        <v>0</v>
      </c>
      <c r="F106" s="446">
        <f t="shared" si="19"/>
        <v>0</v>
      </c>
      <c r="G106" s="444">
        <f t="shared" si="19"/>
        <v>0</v>
      </c>
      <c r="H106" s="446">
        <f t="shared" si="19"/>
        <v>0</v>
      </c>
      <c r="I106" s="45">
        <f t="shared" si="11"/>
        <v>0</v>
      </c>
      <c r="J106" s="333" t="str">
        <f t="shared" si="12"/>
        <v/>
      </c>
      <c r="K106" s="445">
        <f t="shared" si="19"/>
        <v>0</v>
      </c>
      <c r="L106" s="449"/>
      <c r="M106" s="41"/>
      <c r="N106" s="41"/>
      <c r="O106" s="41"/>
      <c r="P106" s="41"/>
      <c r="Q106" s="41"/>
      <c r="R106" s="41"/>
      <c r="S106" s="41"/>
      <c r="T106" s="41"/>
      <c r="U106" s="41"/>
      <c r="V106" s="41"/>
      <c r="W106" s="41"/>
    </row>
    <row r="107" spans="1:23" ht="11.25" customHeight="1" x14ac:dyDescent="0.2">
      <c r="A107" s="410" t="str">
        <f>'Org structure'!E102</f>
        <v>10.1 - Roads and streets</v>
      </c>
      <c r="B107" s="448"/>
      <c r="C107" s="749"/>
      <c r="D107" s="750">
        <v>0</v>
      </c>
      <c r="E107" s="751">
        <v>0</v>
      </c>
      <c r="F107" s="752">
        <v>0</v>
      </c>
      <c r="G107" s="751">
        <v>0</v>
      </c>
      <c r="H107" s="752">
        <v>0</v>
      </c>
      <c r="I107" s="45">
        <f t="shared" si="11"/>
        <v>0</v>
      </c>
      <c r="J107" s="333" t="str">
        <f t="shared" si="12"/>
        <v/>
      </c>
      <c r="K107" s="753">
        <f t="shared" ref="K107:K116" si="20">D107</f>
        <v>0</v>
      </c>
      <c r="L107" s="449"/>
      <c r="M107" s="41"/>
      <c r="N107" s="41"/>
      <c r="O107" s="41"/>
      <c r="P107" s="41"/>
      <c r="Q107" s="41"/>
      <c r="R107" s="41"/>
      <c r="S107" s="41"/>
      <c r="T107" s="41"/>
      <c r="U107" s="41"/>
      <c r="V107" s="41"/>
      <c r="W107" s="41"/>
    </row>
    <row r="108" spans="1:23" ht="11.25" customHeight="1" x14ac:dyDescent="0.2">
      <c r="A108" s="410" t="str">
        <f>'Org structure'!E103</f>
        <v>10.2 - Transport Services</v>
      </c>
      <c r="B108" s="448"/>
      <c r="C108" s="749"/>
      <c r="D108" s="750">
        <v>0</v>
      </c>
      <c r="E108" s="751">
        <v>0</v>
      </c>
      <c r="F108" s="752">
        <v>0</v>
      </c>
      <c r="G108" s="751">
        <v>0</v>
      </c>
      <c r="H108" s="752">
        <v>0</v>
      </c>
      <c r="I108" s="45">
        <f t="shared" si="11"/>
        <v>0</v>
      </c>
      <c r="J108" s="333" t="str">
        <f t="shared" si="12"/>
        <v/>
      </c>
      <c r="K108" s="753">
        <f t="shared" si="20"/>
        <v>0</v>
      </c>
      <c r="L108" s="449"/>
      <c r="M108" s="41"/>
      <c r="N108" s="41"/>
      <c r="O108" s="41"/>
      <c r="P108" s="41"/>
      <c r="Q108" s="41"/>
      <c r="R108" s="41"/>
      <c r="S108" s="41"/>
      <c r="T108" s="41"/>
      <c r="U108" s="41"/>
      <c r="V108" s="41"/>
      <c r="W108" s="41"/>
    </row>
    <row r="109" spans="1:23" ht="11.25" customHeight="1" x14ac:dyDescent="0.2">
      <c r="A109" s="410" t="str">
        <f>'Org structure'!E104</f>
        <v>10.3 - Transport Services (Planning and Operations)</v>
      </c>
      <c r="B109" s="448"/>
      <c r="C109" s="749"/>
      <c r="D109" s="750">
        <v>0</v>
      </c>
      <c r="E109" s="751">
        <v>0</v>
      </c>
      <c r="F109" s="752">
        <v>0</v>
      </c>
      <c r="G109" s="751">
        <v>0</v>
      </c>
      <c r="H109" s="752">
        <v>0</v>
      </c>
      <c r="I109" s="45">
        <f t="shared" si="11"/>
        <v>0</v>
      </c>
      <c r="J109" s="333" t="str">
        <f t="shared" si="12"/>
        <v/>
      </c>
      <c r="K109" s="753">
        <f t="shared" si="20"/>
        <v>0</v>
      </c>
      <c r="L109" s="449"/>
      <c r="M109" s="41"/>
      <c r="N109" s="41"/>
      <c r="O109" s="41"/>
      <c r="P109" s="41"/>
      <c r="Q109" s="41"/>
      <c r="R109" s="41"/>
      <c r="S109" s="41"/>
      <c r="T109" s="41"/>
      <c r="U109" s="41"/>
      <c r="V109" s="41"/>
      <c r="W109" s="41"/>
    </row>
    <row r="110" spans="1:23" ht="11.25" customHeight="1" x14ac:dyDescent="0.2">
      <c r="A110" s="410" t="str">
        <f>'Org structure'!E105</f>
        <v>10.4 - Transport Services (Intelligent Transport and Operations)</v>
      </c>
      <c r="B110" s="448"/>
      <c r="C110" s="749"/>
      <c r="D110" s="750">
        <v>0</v>
      </c>
      <c r="E110" s="751">
        <v>0</v>
      </c>
      <c r="F110" s="752">
        <v>0</v>
      </c>
      <c r="G110" s="751">
        <v>0</v>
      </c>
      <c r="H110" s="752">
        <v>0</v>
      </c>
      <c r="I110" s="45">
        <f t="shared" si="11"/>
        <v>0</v>
      </c>
      <c r="J110" s="333" t="str">
        <f t="shared" si="12"/>
        <v/>
      </c>
      <c r="K110" s="753">
        <f t="shared" si="20"/>
        <v>0</v>
      </c>
      <c r="L110" s="449"/>
      <c r="M110" s="41"/>
      <c r="N110" s="41"/>
      <c r="O110" s="41"/>
      <c r="P110" s="41"/>
      <c r="Q110" s="41"/>
      <c r="R110" s="41"/>
      <c r="S110" s="41"/>
      <c r="T110" s="41"/>
      <c r="U110" s="41"/>
      <c r="V110" s="41"/>
      <c r="W110" s="41"/>
    </row>
    <row r="111" spans="1:23" ht="11.25" customHeight="1" x14ac:dyDescent="0.2">
      <c r="A111" s="410" t="str">
        <f>'Org structure'!E106</f>
        <v>10.5 - Transport Services (Public Transport Regulation and Moitoring)</v>
      </c>
      <c r="B111" s="448"/>
      <c r="C111" s="749"/>
      <c r="D111" s="750">
        <v>0</v>
      </c>
      <c r="E111" s="751">
        <v>0</v>
      </c>
      <c r="F111" s="752">
        <v>0</v>
      </c>
      <c r="G111" s="751">
        <v>0</v>
      </c>
      <c r="H111" s="752">
        <v>0</v>
      </c>
      <c r="I111" s="45">
        <f t="shared" si="11"/>
        <v>0</v>
      </c>
      <c r="J111" s="333" t="str">
        <f t="shared" si="12"/>
        <v/>
      </c>
      <c r="K111" s="753">
        <f t="shared" si="20"/>
        <v>0</v>
      </c>
      <c r="L111" s="449"/>
      <c r="M111" s="41"/>
      <c r="N111" s="41"/>
      <c r="O111" s="41"/>
      <c r="P111" s="41"/>
      <c r="Q111" s="41"/>
      <c r="R111" s="41"/>
      <c r="S111" s="41"/>
      <c r="T111" s="41"/>
      <c r="U111" s="41"/>
      <c r="V111" s="41"/>
      <c r="W111" s="41"/>
    </row>
    <row r="112" spans="1:23" ht="11.25" customHeight="1" x14ac:dyDescent="0.2">
      <c r="A112" s="410" t="str">
        <f>'Org structure'!E107</f>
        <v>10.6 - Roads and Stormwater (administration)</v>
      </c>
      <c r="B112" s="448"/>
      <c r="C112" s="749"/>
      <c r="D112" s="750">
        <v>0</v>
      </c>
      <c r="E112" s="751">
        <v>0</v>
      </c>
      <c r="F112" s="752">
        <v>0</v>
      </c>
      <c r="G112" s="751">
        <v>0</v>
      </c>
      <c r="H112" s="752">
        <v>0</v>
      </c>
      <c r="I112" s="45">
        <f t="shared" si="11"/>
        <v>0</v>
      </c>
      <c r="J112" s="333" t="str">
        <f t="shared" si="12"/>
        <v/>
      </c>
      <c r="K112" s="753">
        <f t="shared" si="20"/>
        <v>0</v>
      </c>
      <c r="L112" s="449"/>
      <c r="M112" s="41"/>
      <c r="N112" s="41"/>
      <c r="O112" s="41"/>
      <c r="P112" s="41"/>
      <c r="Q112" s="41"/>
      <c r="R112" s="41"/>
      <c r="S112" s="41"/>
      <c r="T112" s="41"/>
      <c r="U112" s="41"/>
      <c r="V112" s="41"/>
      <c r="W112" s="41"/>
    </row>
    <row r="113" spans="1:23" ht="11.25" customHeight="1" x14ac:dyDescent="0.2">
      <c r="A113" s="410" t="str">
        <f>'Org structure'!E108</f>
        <v>10.7 - Storm Water Management and Traffic engineering</v>
      </c>
      <c r="B113" s="448"/>
      <c r="C113" s="749"/>
      <c r="D113" s="750">
        <v>0</v>
      </c>
      <c r="E113" s="751">
        <v>0</v>
      </c>
      <c r="F113" s="752">
        <v>0</v>
      </c>
      <c r="G113" s="751">
        <v>0</v>
      </c>
      <c r="H113" s="752">
        <v>0</v>
      </c>
      <c r="I113" s="45">
        <f t="shared" si="11"/>
        <v>0</v>
      </c>
      <c r="J113" s="333" t="str">
        <f t="shared" si="12"/>
        <v/>
      </c>
      <c r="K113" s="753">
        <f t="shared" si="20"/>
        <v>0</v>
      </c>
      <c r="L113" s="449"/>
      <c r="M113" s="41"/>
      <c r="N113" s="41"/>
      <c r="O113" s="41"/>
      <c r="P113" s="41"/>
      <c r="Q113" s="41"/>
      <c r="R113" s="41"/>
      <c r="S113" s="41"/>
      <c r="T113" s="41"/>
      <c r="U113" s="41"/>
      <c r="V113" s="41"/>
      <c r="W113" s="41"/>
    </row>
    <row r="114" spans="1:23" ht="11.25" customHeight="1" x14ac:dyDescent="0.2">
      <c r="A114" s="410" t="str">
        <f>'Org structure'!E109</f>
        <v>10.8 - Roads and Stormwater (Roads and Streets)</v>
      </c>
      <c r="B114" s="448"/>
      <c r="C114" s="749"/>
      <c r="D114" s="750">
        <v>0</v>
      </c>
      <c r="E114" s="751">
        <v>0</v>
      </c>
      <c r="F114" s="752">
        <v>0</v>
      </c>
      <c r="G114" s="751">
        <v>0</v>
      </c>
      <c r="H114" s="752">
        <v>0</v>
      </c>
      <c r="I114" s="45">
        <f t="shared" si="11"/>
        <v>0</v>
      </c>
      <c r="J114" s="333" t="str">
        <f t="shared" si="12"/>
        <v/>
      </c>
      <c r="K114" s="753">
        <f t="shared" si="20"/>
        <v>0</v>
      </c>
      <c r="L114" s="449"/>
      <c r="M114" s="41"/>
      <c r="N114" s="41"/>
      <c r="O114" s="41"/>
      <c r="P114" s="41"/>
      <c r="Q114" s="41"/>
      <c r="R114" s="41"/>
      <c r="S114" s="41"/>
      <c r="T114" s="41"/>
      <c r="U114" s="41"/>
      <c r="V114" s="41"/>
      <c r="W114" s="41"/>
    </row>
    <row r="115" spans="1:23" ht="11.25" customHeight="1" x14ac:dyDescent="0.2">
      <c r="A115" s="410" t="str">
        <f>'Org structure'!E110</f>
        <v>10.9 - Roads and Stormwater (Stormwater)</v>
      </c>
      <c r="B115" s="448"/>
      <c r="C115" s="749"/>
      <c r="D115" s="750">
        <v>0</v>
      </c>
      <c r="E115" s="751">
        <v>0</v>
      </c>
      <c r="F115" s="752">
        <v>0</v>
      </c>
      <c r="G115" s="751">
        <v>0</v>
      </c>
      <c r="H115" s="752">
        <v>0</v>
      </c>
      <c r="I115" s="45">
        <f t="shared" si="11"/>
        <v>0</v>
      </c>
      <c r="J115" s="333" t="str">
        <f t="shared" si="12"/>
        <v/>
      </c>
      <c r="K115" s="753">
        <f t="shared" si="20"/>
        <v>0</v>
      </c>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v>0</v>
      </c>
      <c r="E116" s="751">
        <v>0</v>
      </c>
      <c r="F116" s="752">
        <v>0</v>
      </c>
      <c r="G116" s="751">
        <v>0</v>
      </c>
      <c r="H116" s="752">
        <v>0</v>
      </c>
      <c r="I116" s="45">
        <f t="shared" si="11"/>
        <v>0</v>
      </c>
      <c r="J116" s="333" t="str">
        <f t="shared" si="12"/>
        <v/>
      </c>
      <c r="K116" s="753">
        <f t="shared" si="20"/>
        <v>0</v>
      </c>
      <c r="L116" s="449"/>
      <c r="M116" s="41"/>
      <c r="N116" s="41"/>
      <c r="O116" s="41"/>
      <c r="P116" s="41"/>
      <c r="Q116" s="41"/>
      <c r="R116" s="41"/>
      <c r="S116" s="41"/>
      <c r="T116" s="41"/>
      <c r="U116" s="41"/>
      <c r="V116" s="41"/>
      <c r="W116" s="41"/>
    </row>
    <row r="117" spans="1:23" ht="11.25" customHeight="1" x14ac:dyDescent="0.2">
      <c r="A117" s="469" t="str">
        <f>'Org structure'!A12</f>
        <v>Vote 11 - Human Settlement</v>
      </c>
      <c r="B117" s="448"/>
      <c r="C117" s="506">
        <f>SUM(C118:C127)</f>
        <v>0</v>
      </c>
      <c r="D117" s="447">
        <f t="shared" ref="D117:K117" si="21">SUM(D118:D127)</f>
        <v>0</v>
      </c>
      <c r="E117" s="444">
        <f t="shared" si="21"/>
        <v>0</v>
      </c>
      <c r="F117" s="446">
        <f t="shared" si="21"/>
        <v>0</v>
      </c>
      <c r="G117" s="444">
        <f t="shared" si="21"/>
        <v>0</v>
      </c>
      <c r="H117" s="446">
        <f t="shared" si="21"/>
        <v>0</v>
      </c>
      <c r="I117" s="45">
        <f t="shared" si="11"/>
        <v>0</v>
      </c>
      <c r="J117" s="333" t="str">
        <f t="shared" si="12"/>
        <v/>
      </c>
      <c r="K117" s="445">
        <f t="shared" si="21"/>
        <v>0</v>
      </c>
      <c r="L117" s="449"/>
      <c r="M117" s="41"/>
      <c r="N117" s="41"/>
      <c r="O117" s="41"/>
      <c r="P117" s="41"/>
      <c r="Q117" s="41"/>
      <c r="R117" s="41"/>
      <c r="S117" s="41"/>
      <c r="T117" s="41"/>
      <c r="U117" s="41"/>
      <c r="V117" s="41"/>
      <c r="W117" s="41"/>
    </row>
    <row r="118" spans="1:23" ht="11.25" customHeight="1" x14ac:dyDescent="0.2">
      <c r="A118" s="410" t="str">
        <f>'Org structure'!E113</f>
        <v>11.1 - Human Settlement</v>
      </c>
      <c r="B118" s="448"/>
      <c r="C118" s="749"/>
      <c r="D118" s="750">
        <v>0</v>
      </c>
      <c r="E118" s="751">
        <v>0</v>
      </c>
      <c r="F118" s="752">
        <v>0</v>
      </c>
      <c r="G118" s="751">
        <v>0</v>
      </c>
      <c r="H118" s="752">
        <v>0</v>
      </c>
      <c r="I118" s="45">
        <f t="shared" si="11"/>
        <v>0</v>
      </c>
      <c r="J118" s="333" t="str">
        <f t="shared" si="12"/>
        <v/>
      </c>
      <c r="K118" s="753"/>
      <c r="L118" s="449"/>
      <c r="M118" s="41"/>
      <c r="N118" s="41"/>
      <c r="O118" s="41"/>
      <c r="P118" s="41"/>
      <c r="Q118" s="41"/>
      <c r="R118" s="41"/>
      <c r="S118" s="41"/>
      <c r="T118" s="41"/>
      <c r="U118" s="41"/>
      <c r="V118" s="41"/>
      <c r="W118" s="41"/>
    </row>
    <row r="119" spans="1:23" ht="11.25" customHeight="1" x14ac:dyDescent="0.2">
      <c r="A119" s="410" t="str">
        <f>'Org structure'!E114</f>
        <v>11.2 - Human Settlement - Housing Adimistration</v>
      </c>
      <c r="B119" s="448"/>
      <c r="C119" s="749"/>
      <c r="D119" s="750">
        <v>0</v>
      </c>
      <c r="E119" s="751">
        <v>0</v>
      </c>
      <c r="F119" s="752">
        <v>0</v>
      </c>
      <c r="G119" s="751">
        <v>0</v>
      </c>
      <c r="H119" s="752">
        <v>0</v>
      </c>
      <c r="I119" s="45">
        <f t="shared" si="11"/>
        <v>0</v>
      </c>
      <c r="J119" s="333" t="str">
        <f t="shared" si="12"/>
        <v/>
      </c>
      <c r="K119" s="753"/>
      <c r="L119" s="449"/>
      <c r="M119" s="41"/>
      <c r="N119" s="41"/>
      <c r="O119" s="41"/>
      <c r="P119" s="41"/>
      <c r="Q119" s="41"/>
      <c r="R119" s="41"/>
      <c r="S119" s="41"/>
      <c r="T119" s="41"/>
      <c r="U119" s="41"/>
      <c r="V119" s="41"/>
      <c r="W119" s="41"/>
    </row>
    <row r="120" spans="1:23" ht="11.25" customHeight="1" x14ac:dyDescent="0.2">
      <c r="A120" s="410" t="str">
        <f>'Org structure'!E115</f>
        <v>11.3 - Human Settlement Rental Hosing and Programme Implemantation</v>
      </c>
      <c r="B120" s="448"/>
      <c r="C120" s="749"/>
      <c r="D120" s="750">
        <v>0</v>
      </c>
      <c r="E120" s="751">
        <v>0</v>
      </c>
      <c r="F120" s="752">
        <v>0</v>
      </c>
      <c r="G120" s="751">
        <v>0</v>
      </c>
      <c r="H120" s="752">
        <v>0</v>
      </c>
      <c r="I120" s="45">
        <f t="shared" si="11"/>
        <v>0</v>
      </c>
      <c r="J120" s="333" t="str">
        <f t="shared" si="12"/>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v>0</v>
      </c>
      <c r="E121" s="751">
        <v>0</v>
      </c>
      <c r="F121" s="752">
        <v>0</v>
      </c>
      <c r="G121" s="751">
        <v>0</v>
      </c>
      <c r="H121" s="752">
        <v>0</v>
      </c>
      <c r="I121" s="45">
        <f t="shared" si="11"/>
        <v>0</v>
      </c>
      <c r="J121" s="333" t="str">
        <f t="shared" si="12"/>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v>0</v>
      </c>
      <c r="E122" s="751">
        <v>0</v>
      </c>
      <c r="F122" s="752">
        <v>0</v>
      </c>
      <c r="G122" s="751">
        <v>0</v>
      </c>
      <c r="H122" s="752">
        <v>0</v>
      </c>
      <c r="I122" s="45">
        <f t="shared" si="11"/>
        <v>0</v>
      </c>
      <c r="J122" s="333" t="str">
        <f t="shared" si="12"/>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v>0</v>
      </c>
      <c r="E123" s="751">
        <v>0</v>
      </c>
      <c r="F123" s="752">
        <v>0</v>
      </c>
      <c r="G123" s="751">
        <v>0</v>
      </c>
      <c r="H123" s="752">
        <v>0</v>
      </c>
      <c r="I123" s="45">
        <f t="shared" si="11"/>
        <v>0</v>
      </c>
      <c r="J123" s="333" t="str">
        <f t="shared" si="12"/>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v>0</v>
      </c>
      <c r="E124" s="751">
        <v>0</v>
      </c>
      <c r="F124" s="752">
        <v>0</v>
      </c>
      <c r="G124" s="751">
        <v>0</v>
      </c>
      <c r="H124" s="752">
        <v>0</v>
      </c>
      <c r="I124" s="45">
        <f t="shared" si="11"/>
        <v>0</v>
      </c>
      <c r="J124" s="333" t="str">
        <f t="shared" si="12"/>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v>0</v>
      </c>
      <c r="E125" s="751">
        <v>0</v>
      </c>
      <c r="F125" s="752">
        <v>0</v>
      </c>
      <c r="G125" s="751">
        <v>0</v>
      </c>
      <c r="H125" s="752">
        <v>0</v>
      </c>
      <c r="I125" s="45">
        <f t="shared" si="11"/>
        <v>0</v>
      </c>
      <c r="J125" s="333" t="str">
        <f t="shared" si="12"/>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v>0</v>
      </c>
      <c r="E126" s="751">
        <v>0</v>
      </c>
      <c r="F126" s="752">
        <v>0</v>
      </c>
      <c r="G126" s="751">
        <v>0</v>
      </c>
      <c r="H126" s="752">
        <v>0</v>
      </c>
      <c r="I126" s="45">
        <f t="shared" si="11"/>
        <v>0</v>
      </c>
      <c r="J126" s="333" t="str">
        <f t="shared" si="12"/>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v>0</v>
      </c>
      <c r="E127" s="751">
        <v>0</v>
      </c>
      <c r="F127" s="752">
        <v>0</v>
      </c>
      <c r="G127" s="751">
        <v>0</v>
      </c>
      <c r="H127" s="752">
        <v>0</v>
      </c>
      <c r="I127" s="45">
        <f t="shared" si="11"/>
        <v>0</v>
      </c>
      <c r="J127" s="333" t="str">
        <f t="shared" si="12"/>
        <v/>
      </c>
      <c r="K127" s="753"/>
      <c r="L127" s="449"/>
      <c r="M127" s="41"/>
      <c r="N127" s="41"/>
      <c r="O127" s="41"/>
      <c r="P127" s="41"/>
      <c r="Q127" s="41"/>
      <c r="R127" s="41"/>
      <c r="S127" s="41"/>
      <c r="T127" s="41"/>
      <c r="U127" s="41"/>
      <c r="V127" s="41"/>
      <c r="W127" s="41"/>
    </row>
    <row r="128" spans="1:23" ht="11.25" customHeight="1" x14ac:dyDescent="0.2">
      <c r="A128" s="469" t="str">
        <f>'Org structure'!A13</f>
        <v xml:space="preserve">Vote 12 - </v>
      </c>
      <c r="B128" s="448"/>
      <c r="C128" s="506">
        <f>SUM(C129:C138)</f>
        <v>0</v>
      </c>
      <c r="D128" s="447">
        <f t="shared" ref="D128:K128" si="22">SUM(D129:D138)</f>
        <v>0</v>
      </c>
      <c r="E128" s="444">
        <f t="shared" si="22"/>
        <v>0</v>
      </c>
      <c r="F128" s="446">
        <f t="shared" si="22"/>
        <v>0</v>
      </c>
      <c r="G128" s="444">
        <f t="shared" si="22"/>
        <v>0</v>
      </c>
      <c r="H128" s="446">
        <f t="shared" si="22"/>
        <v>0</v>
      </c>
      <c r="I128" s="45">
        <f t="shared" si="11"/>
        <v>0</v>
      </c>
      <c r="J128" s="333" t="str">
        <f t="shared" si="12"/>
        <v/>
      </c>
      <c r="K128" s="445">
        <f t="shared" si="22"/>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v>0</v>
      </c>
      <c r="E129" s="751">
        <v>0</v>
      </c>
      <c r="F129" s="752">
        <v>0</v>
      </c>
      <c r="G129" s="751">
        <v>0</v>
      </c>
      <c r="H129" s="752">
        <v>0</v>
      </c>
      <c r="I129" s="45">
        <f t="shared" si="11"/>
        <v>0</v>
      </c>
      <c r="J129" s="333" t="str">
        <f t="shared" si="12"/>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v>0</v>
      </c>
      <c r="E130" s="751">
        <v>0</v>
      </c>
      <c r="F130" s="752">
        <v>0</v>
      </c>
      <c r="G130" s="751">
        <v>0</v>
      </c>
      <c r="H130" s="752">
        <v>0</v>
      </c>
      <c r="I130" s="45">
        <f t="shared" si="11"/>
        <v>0</v>
      </c>
      <c r="J130" s="333" t="str">
        <f t="shared" si="12"/>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v>0</v>
      </c>
      <c r="E131" s="751">
        <v>0</v>
      </c>
      <c r="F131" s="752">
        <v>0</v>
      </c>
      <c r="G131" s="751">
        <v>0</v>
      </c>
      <c r="H131" s="752">
        <v>0</v>
      </c>
      <c r="I131" s="45">
        <f t="shared" si="11"/>
        <v>0</v>
      </c>
      <c r="J131" s="333" t="str">
        <f t="shared" si="12"/>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v>0</v>
      </c>
      <c r="E132" s="751">
        <v>0</v>
      </c>
      <c r="F132" s="752">
        <v>0</v>
      </c>
      <c r="G132" s="751">
        <v>0</v>
      </c>
      <c r="H132" s="752">
        <v>0</v>
      </c>
      <c r="I132" s="45">
        <f t="shared" si="11"/>
        <v>0</v>
      </c>
      <c r="J132" s="333" t="str">
        <f t="shared" si="12"/>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v>0</v>
      </c>
      <c r="E133" s="751">
        <v>0</v>
      </c>
      <c r="F133" s="752">
        <v>0</v>
      </c>
      <c r="G133" s="751">
        <v>0</v>
      </c>
      <c r="H133" s="752">
        <v>0</v>
      </c>
      <c r="I133" s="45">
        <f t="shared" si="11"/>
        <v>0</v>
      </c>
      <c r="J133" s="333" t="str">
        <f t="shared" si="12"/>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v>0</v>
      </c>
      <c r="E134" s="751">
        <v>0</v>
      </c>
      <c r="F134" s="752">
        <v>0</v>
      </c>
      <c r="G134" s="751">
        <v>0</v>
      </c>
      <c r="H134" s="752">
        <v>0</v>
      </c>
      <c r="I134" s="45">
        <f t="shared" si="11"/>
        <v>0</v>
      </c>
      <c r="J134" s="333" t="str">
        <f t="shared" si="12"/>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v>0</v>
      </c>
      <c r="E135" s="751">
        <v>0</v>
      </c>
      <c r="F135" s="752">
        <v>0</v>
      </c>
      <c r="G135" s="751">
        <v>0</v>
      </c>
      <c r="H135" s="752">
        <v>0</v>
      </c>
      <c r="I135" s="45">
        <f t="shared" ref="I135:I199" si="23">G135-H135</f>
        <v>0</v>
      </c>
      <c r="J135" s="333" t="str">
        <f t="shared" ref="J135:J199" si="24">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v>0</v>
      </c>
      <c r="E136" s="751">
        <v>0</v>
      </c>
      <c r="F136" s="752">
        <v>0</v>
      </c>
      <c r="G136" s="751">
        <v>0</v>
      </c>
      <c r="H136" s="752">
        <v>0</v>
      </c>
      <c r="I136" s="45">
        <f t="shared" si="23"/>
        <v>0</v>
      </c>
      <c r="J136" s="333" t="str">
        <f t="shared" si="24"/>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v>0</v>
      </c>
      <c r="E137" s="751">
        <v>0</v>
      </c>
      <c r="F137" s="752">
        <v>0</v>
      </c>
      <c r="G137" s="751">
        <v>0</v>
      </c>
      <c r="H137" s="752">
        <v>0</v>
      </c>
      <c r="I137" s="45">
        <f t="shared" si="23"/>
        <v>0</v>
      </c>
      <c r="J137" s="333" t="str">
        <f t="shared" si="24"/>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v>0</v>
      </c>
      <c r="E138" s="751">
        <v>0</v>
      </c>
      <c r="F138" s="752">
        <v>0</v>
      </c>
      <c r="G138" s="751">
        <v>0</v>
      </c>
      <c r="H138" s="752">
        <v>0</v>
      </c>
      <c r="I138" s="45">
        <f t="shared" si="23"/>
        <v>0</v>
      </c>
      <c r="J138" s="333" t="str">
        <f t="shared" si="24"/>
        <v/>
      </c>
      <c r="K138" s="753"/>
      <c r="L138" s="449"/>
      <c r="M138" s="41"/>
      <c r="N138" s="41"/>
      <c r="O138" s="41"/>
      <c r="P138" s="41"/>
      <c r="Q138" s="41"/>
      <c r="R138" s="41"/>
      <c r="S138" s="41"/>
      <c r="T138" s="41"/>
      <c r="U138" s="41"/>
      <c r="V138" s="41"/>
      <c r="W138" s="41"/>
    </row>
    <row r="139" spans="1:23" ht="11.25" customHeight="1" x14ac:dyDescent="0.2">
      <c r="A139" s="469" t="str">
        <f>'Org structure'!A14</f>
        <v xml:space="preserve">Vote 13 - </v>
      </c>
      <c r="B139" s="448"/>
      <c r="C139" s="506">
        <f>SUM(C140:C149)</f>
        <v>0</v>
      </c>
      <c r="D139" s="447">
        <f t="shared" ref="D139:K139" si="25">SUM(D140:D149)</f>
        <v>0</v>
      </c>
      <c r="E139" s="444">
        <f t="shared" si="25"/>
        <v>0</v>
      </c>
      <c r="F139" s="446">
        <f t="shared" si="25"/>
        <v>0</v>
      </c>
      <c r="G139" s="444">
        <f t="shared" si="25"/>
        <v>0</v>
      </c>
      <c r="H139" s="446">
        <f t="shared" si="25"/>
        <v>0</v>
      </c>
      <c r="I139" s="45">
        <f t="shared" si="23"/>
        <v>0</v>
      </c>
      <c r="J139" s="333" t="str">
        <f t="shared" si="24"/>
        <v/>
      </c>
      <c r="K139" s="445">
        <f t="shared" si="25"/>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v>0</v>
      </c>
      <c r="E140" s="751">
        <v>0</v>
      </c>
      <c r="F140" s="752">
        <v>0</v>
      </c>
      <c r="G140" s="751">
        <v>0</v>
      </c>
      <c r="H140" s="752">
        <v>0</v>
      </c>
      <c r="I140" s="45">
        <f t="shared" si="23"/>
        <v>0</v>
      </c>
      <c r="J140" s="333" t="str">
        <f t="shared" si="24"/>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v>0</v>
      </c>
      <c r="E141" s="751">
        <v>0</v>
      </c>
      <c r="F141" s="752">
        <v>0</v>
      </c>
      <c r="G141" s="751">
        <v>0</v>
      </c>
      <c r="H141" s="752">
        <v>0</v>
      </c>
      <c r="I141" s="45">
        <f t="shared" si="23"/>
        <v>0</v>
      </c>
      <c r="J141" s="333" t="str">
        <f t="shared" si="24"/>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v>0</v>
      </c>
      <c r="E142" s="751">
        <v>0</v>
      </c>
      <c r="F142" s="752">
        <v>0</v>
      </c>
      <c r="G142" s="751">
        <v>0</v>
      </c>
      <c r="H142" s="752">
        <v>0</v>
      </c>
      <c r="I142" s="45">
        <f t="shared" si="23"/>
        <v>0</v>
      </c>
      <c r="J142" s="333" t="str">
        <f t="shared" si="24"/>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v>0</v>
      </c>
      <c r="E143" s="751">
        <v>0</v>
      </c>
      <c r="F143" s="752">
        <v>0</v>
      </c>
      <c r="G143" s="751">
        <v>0</v>
      </c>
      <c r="H143" s="752">
        <v>0</v>
      </c>
      <c r="I143" s="45">
        <f t="shared" si="23"/>
        <v>0</v>
      </c>
      <c r="J143" s="333" t="str">
        <f t="shared" si="24"/>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v>0</v>
      </c>
      <c r="E144" s="751">
        <v>0</v>
      </c>
      <c r="F144" s="752">
        <v>0</v>
      </c>
      <c r="G144" s="751">
        <v>0</v>
      </c>
      <c r="H144" s="752">
        <v>0</v>
      </c>
      <c r="I144" s="45">
        <f t="shared" si="23"/>
        <v>0</v>
      </c>
      <c r="J144" s="333" t="str">
        <f t="shared" si="24"/>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v>0</v>
      </c>
      <c r="E145" s="751">
        <v>0</v>
      </c>
      <c r="F145" s="752">
        <v>0</v>
      </c>
      <c r="G145" s="751">
        <v>0</v>
      </c>
      <c r="H145" s="752">
        <v>0</v>
      </c>
      <c r="I145" s="45">
        <f t="shared" si="23"/>
        <v>0</v>
      </c>
      <c r="J145" s="333" t="str">
        <f t="shared" si="24"/>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v>0</v>
      </c>
      <c r="E146" s="751">
        <v>0</v>
      </c>
      <c r="F146" s="752">
        <v>0</v>
      </c>
      <c r="G146" s="751">
        <v>0</v>
      </c>
      <c r="H146" s="752">
        <v>0</v>
      </c>
      <c r="I146" s="45">
        <f t="shared" si="23"/>
        <v>0</v>
      </c>
      <c r="J146" s="333" t="str">
        <f t="shared" si="24"/>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v>0</v>
      </c>
      <c r="E147" s="751">
        <v>0</v>
      </c>
      <c r="F147" s="752">
        <v>0</v>
      </c>
      <c r="G147" s="751">
        <v>0</v>
      </c>
      <c r="H147" s="752">
        <v>0</v>
      </c>
      <c r="I147" s="45">
        <f t="shared" si="23"/>
        <v>0</v>
      </c>
      <c r="J147" s="333" t="str">
        <f t="shared" si="24"/>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v>0</v>
      </c>
      <c r="E148" s="751">
        <v>0</v>
      </c>
      <c r="F148" s="752">
        <v>0</v>
      </c>
      <c r="G148" s="751">
        <v>0</v>
      </c>
      <c r="H148" s="752">
        <v>0</v>
      </c>
      <c r="I148" s="45">
        <f t="shared" si="23"/>
        <v>0</v>
      </c>
      <c r="J148" s="333" t="str">
        <f t="shared" si="24"/>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v>0</v>
      </c>
      <c r="E149" s="751">
        <v>0</v>
      </c>
      <c r="F149" s="752">
        <v>0</v>
      </c>
      <c r="G149" s="751">
        <v>0</v>
      </c>
      <c r="H149" s="752">
        <v>0</v>
      </c>
      <c r="I149" s="45">
        <f t="shared" si="23"/>
        <v>0</v>
      </c>
      <c r="J149" s="333" t="str">
        <f t="shared" si="24"/>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26">SUM(D151:D160)</f>
        <v>0</v>
      </c>
      <c r="E150" s="444">
        <f t="shared" si="26"/>
        <v>0</v>
      </c>
      <c r="F150" s="446">
        <f t="shared" si="26"/>
        <v>0</v>
      </c>
      <c r="G150" s="444">
        <f t="shared" si="26"/>
        <v>0</v>
      </c>
      <c r="H150" s="446">
        <f t="shared" si="26"/>
        <v>0</v>
      </c>
      <c r="I150" s="45">
        <f t="shared" si="23"/>
        <v>0</v>
      </c>
      <c r="J150" s="333" t="str">
        <f t="shared" si="24"/>
        <v/>
      </c>
      <c r="K150" s="445">
        <f t="shared" si="26"/>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v>0</v>
      </c>
      <c r="E151" s="751">
        <v>0</v>
      </c>
      <c r="F151" s="752">
        <v>0</v>
      </c>
      <c r="G151" s="751">
        <v>0</v>
      </c>
      <c r="H151" s="752">
        <v>0</v>
      </c>
      <c r="I151" s="45">
        <f t="shared" si="23"/>
        <v>0</v>
      </c>
      <c r="J151" s="333" t="str">
        <f t="shared" si="24"/>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v>0</v>
      </c>
      <c r="E152" s="751">
        <v>0</v>
      </c>
      <c r="F152" s="752">
        <v>0</v>
      </c>
      <c r="G152" s="751">
        <v>0</v>
      </c>
      <c r="H152" s="752">
        <v>0</v>
      </c>
      <c r="I152" s="45">
        <f t="shared" si="23"/>
        <v>0</v>
      </c>
      <c r="J152" s="333" t="str">
        <f t="shared" si="24"/>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v>0</v>
      </c>
      <c r="E153" s="751">
        <v>0</v>
      </c>
      <c r="F153" s="752">
        <v>0</v>
      </c>
      <c r="G153" s="751">
        <v>0</v>
      </c>
      <c r="H153" s="752">
        <v>0</v>
      </c>
      <c r="I153" s="45">
        <f t="shared" si="23"/>
        <v>0</v>
      </c>
      <c r="J153" s="333" t="str">
        <f t="shared" si="24"/>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v>0</v>
      </c>
      <c r="E154" s="751">
        <v>0</v>
      </c>
      <c r="F154" s="752">
        <v>0</v>
      </c>
      <c r="G154" s="751">
        <v>0</v>
      </c>
      <c r="H154" s="752">
        <v>0</v>
      </c>
      <c r="I154" s="45">
        <f t="shared" si="23"/>
        <v>0</v>
      </c>
      <c r="J154" s="333" t="str">
        <f t="shared" si="24"/>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v>0</v>
      </c>
      <c r="E155" s="751">
        <v>0</v>
      </c>
      <c r="F155" s="752">
        <v>0</v>
      </c>
      <c r="G155" s="751">
        <v>0</v>
      </c>
      <c r="H155" s="752">
        <v>0</v>
      </c>
      <c r="I155" s="45">
        <f t="shared" si="23"/>
        <v>0</v>
      </c>
      <c r="J155" s="333" t="str">
        <f t="shared" si="24"/>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v>0</v>
      </c>
      <c r="E156" s="751">
        <v>0</v>
      </c>
      <c r="F156" s="752">
        <v>0</v>
      </c>
      <c r="G156" s="751">
        <v>0</v>
      </c>
      <c r="H156" s="752">
        <v>0</v>
      </c>
      <c r="I156" s="45">
        <f t="shared" si="23"/>
        <v>0</v>
      </c>
      <c r="J156" s="333" t="str">
        <f t="shared" si="24"/>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v>0</v>
      </c>
      <c r="E157" s="751">
        <v>0</v>
      </c>
      <c r="F157" s="752">
        <v>0</v>
      </c>
      <c r="G157" s="751">
        <v>0</v>
      </c>
      <c r="H157" s="752">
        <v>0</v>
      </c>
      <c r="I157" s="45">
        <f t="shared" si="23"/>
        <v>0</v>
      </c>
      <c r="J157" s="333" t="str">
        <f t="shared" si="24"/>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v>0</v>
      </c>
      <c r="E158" s="751">
        <v>0</v>
      </c>
      <c r="F158" s="752">
        <v>0</v>
      </c>
      <c r="G158" s="751">
        <v>0</v>
      </c>
      <c r="H158" s="752">
        <v>0</v>
      </c>
      <c r="I158" s="45">
        <f t="shared" si="23"/>
        <v>0</v>
      </c>
      <c r="J158" s="333" t="str">
        <f t="shared" si="24"/>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v>0</v>
      </c>
      <c r="E159" s="751">
        <v>0</v>
      </c>
      <c r="F159" s="752">
        <v>0</v>
      </c>
      <c r="G159" s="751">
        <v>0</v>
      </c>
      <c r="H159" s="752">
        <v>0</v>
      </c>
      <c r="I159" s="45">
        <f t="shared" si="23"/>
        <v>0</v>
      </c>
      <c r="J159" s="333" t="str">
        <f t="shared" si="24"/>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v>0</v>
      </c>
      <c r="E160" s="751">
        <v>0</v>
      </c>
      <c r="F160" s="752">
        <v>0</v>
      </c>
      <c r="G160" s="751">
        <v>0</v>
      </c>
      <c r="H160" s="752">
        <v>0</v>
      </c>
      <c r="I160" s="45">
        <f t="shared" si="23"/>
        <v>0</v>
      </c>
      <c r="J160" s="333" t="str">
        <f t="shared" si="24"/>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7">SUM(D162:D171)</f>
        <v>0</v>
      </c>
      <c r="E161" s="444">
        <f t="shared" si="27"/>
        <v>0</v>
      </c>
      <c r="F161" s="446">
        <f t="shared" si="27"/>
        <v>0</v>
      </c>
      <c r="G161" s="444">
        <f t="shared" si="27"/>
        <v>0</v>
      </c>
      <c r="H161" s="446">
        <f t="shared" si="27"/>
        <v>0</v>
      </c>
      <c r="I161" s="45">
        <f t="shared" si="23"/>
        <v>0</v>
      </c>
      <c r="J161" s="333" t="str">
        <f t="shared" si="24"/>
        <v/>
      </c>
      <c r="K161" s="445">
        <f t="shared" si="27"/>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v>0</v>
      </c>
      <c r="E162" s="751">
        <v>0</v>
      </c>
      <c r="F162" s="752">
        <v>0</v>
      </c>
      <c r="G162" s="751">
        <v>0</v>
      </c>
      <c r="H162" s="752">
        <v>0</v>
      </c>
      <c r="I162" s="45">
        <f t="shared" si="23"/>
        <v>0</v>
      </c>
      <c r="J162" s="333" t="str">
        <f t="shared" si="24"/>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v>0</v>
      </c>
      <c r="E163" s="751">
        <v>0</v>
      </c>
      <c r="F163" s="752">
        <v>0</v>
      </c>
      <c r="G163" s="751">
        <v>0</v>
      </c>
      <c r="H163" s="752">
        <v>0</v>
      </c>
      <c r="I163" s="45">
        <f t="shared" si="23"/>
        <v>0</v>
      </c>
      <c r="J163" s="333" t="str">
        <f t="shared" si="24"/>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v>0</v>
      </c>
      <c r="E164" s="751">
        <v>0</v>
      </c>
      <c r="F164" s="752">
        <v>0</v>
      </c>
      <c r="G164" s="751">
        <v>0</v>
      </c>
      <c r="H164" s="752">
        <v>0</v>
      </c>
      <c r="I164" s="45">
        <f t="shared" si="23"/>
        <v>0</v>
      </c>
      <c r="J164" s="333" t="str">
        <f t="shared" si="24"/>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v>0</v>
      </c>
      <c r="E165" s="751">
        <v>0</v>
      </c>
      <c r="F165" s="752">
        <v>0</v>
      </c>
      <c r="G165" s="751">
        <v>0</v>
      </c>
      <c r="H165" s="752">
        <v>0</v>
      </c>
      <c r="I165" s="45">
        <f t="shared" si="23"/>
        <v>0</v>
      </c>
      <c r="J165" s="333" t="str">
        <f t="shared" si="24"/>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v>0</v>
      </c>
      <c r="E166" s="751">
        <v>0</v>
      </c>
      <c r="F166" s="752">
        <v>0</v>
      </c>
      <c r="G166" s="751">
        <v>0</v>
      </c>
      <c r="H166" s="752">
        <v>0</v>
      </c>
      <c r="I166" s="45">
        <f t="shared" si="23"/>
        <v>0</v>
      </c>
      <c r="J166" s="333" t="str">
        <f t="shared" si="24"/>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v>0</v>
      </c>
      <c r="E167" s="751">
        <v>0</v>
      </c>
      <c r="F167" s="752">
        <v>0</v>
      </c>
      <c r="G167" s="751">
        <v>0</v>
      </c>
      <c r="H167" s="752">
        <v>0</v>
      </c>
      <c r="I167" s="45">
        <f t="shared" si="23"/>
        <v>0</v>
      </c>
      <c r="J167" s="333" t="str">
        <f t="shared" si="24"/>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v>0</v>
      </c>
      <c r="E168" s="751">
        <v>0</v>
      </c>
      <c r="F168" s="752">
        <v>0</v>
      </c>
      <c r="G168" s="751">
        <v>0</v>
      </c>
      <c r="H168" s="752">
        <v>0</v>
      </c>
      <c r="I168" s="45">
        <f t="shared" si="23"/>
        <v>0</v>
      </c>
      <c r="J168" s="333" t="str">
        <f t="shared" si="24"/>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v>0</v>
      </c>
      <c r="E169" s="751">
        <v>0</v>
      </c>
      <c r="F169" s="752">
        <v>0</v>
      </c>
      <c r="G169" s="751">
        <v>0</v>
      </c>
      <c r="H169" s="752">
        <v>0</v>
      </c>
      <c r="I169" s="45">
        <f t="shared" si="23"/>
        <v>0</v>
      </c>
      <c r="J169" s="333" t="str">
        <f t="shared" si="24"/>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v>0</v>
      </c>
      <c r="E170" s="751">
        <v>0</v>
      </c>
      <c r="F170" s="752">
        <v>0</v>
      </c>
      <c r="G170" s="751">
        <v>0</v>
      </c>
      <c r="H170" s="752">
        <v>0</v>
      </c>
      <c r="I170" s="45">
        <f t="shared" si="23"/>
        <v>0</v>
      </c>
      <c r="J170" s="333" t="str">
        <f t="shared" si="24"/>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v>0</v>
      </c>
      <c r="E171" s="751">
        <v>0</v>
      </c>
      <c r="F171" s="752">
        <v>0</v>
      </c>
      <c r="G171" s="751">
        <v>0</v>
      </c>
      <c r="H171" s="752">
        <v>0</v>
      </c>
      <c r="I171" s="45">
        <f t="shared" si="23"/>
        <v>0</v>
      </c>
      <c r="J171" s="333" t="str">
        <f t="shared" si="24"/>
        <v/>
      </c>
      <c r="K171" s="753"/>
      <c r="L171" s="455">
        <f t="shared" ref="L171:W171" si="28">SUM(L79:L82)</f>
        <v>0</v>
      </c>
      <c r="M171" s="456">
        <f t="shared" si="28"/>
        <v>0</v>
      </c>
      <c r="N171" s="456">
        <f t="shared" si="28"/>
        <v>0</v>
      </c>
      <c r="O171" s="456">
        <f t="shared" si="28"/>
        <v>0</v>
      </c>
      <c r="P171" s="456">
        <f t="shared" si="28"/>
        <v>0</v>
      </c>
      <c r="Q171" s="456">
        <f t="shared" si="28"/>
        <v>0</v>
      </c>
      <c r="R171" s="456">
        <f t="shared" si="28"/>
        <v>0</v>
      </c>
      <c r="S171" s="456">
        <f t="shared" si="28"/>
        <v>0</v>
      </c>
      <c r="T171" s="456">
        <f t="shared" si="28"/>
        <v>0</v>
      </c>
      <c r="U171" s="456">
        <f t="shared" si="28"/>
        <v>0</v>
      </c>
      <c r="V171" s="456">
        <f t="shared" si="28"/>
        <v>0</v>
      </c>
      <c r="W171" s="456">
        <f t="shared" si="28"/>
        <v>0</v>
      </c>
    </row>
    <row r="172" spans="1:23" ht="12.75" customHeight="1" x14ac:dyDescent="0.2">
      <c r="A172" s="450" t="s">
        <v>820</v>
      </c>
      <c r="B172" s="418"/>
      <c r="C172" s="507">
        <f>C7+C18+C29+C40+C51+C62+C73+C84+C95+C106+C117+C128+C139+C150+C161</f>
        <v>0</v>
      </c>
      <c r="D172" s="454">
        <f t="shared" ref="D172:K172" si="29">D7+D18+D29+D40+D51+D62+D73+D84+D95+D106+D117+D128+D139+D150+D161</f>
        <v>0</v>
      </c>
      <c r="E172" s="451">
        <f t="shared" si="29"/>
        <v>0</v>
      </c>
      <c r="F172" s="453">
        <f t="shared" si="29"/>
        <v>0</v>
      </c>
      <c r="G172" s="451">
        <f t="shared" si="29"/>
        <v>0</v>
      </c>
      <c r="H172" s="453">
        <f t="shared" si="29"/>
        <v>0</v>
      </c>
      <c r="I172" s="517">
        <f t="shared" si="23"/>
        <v>0</v>
      </c>
      <c r="J172" s="518" t="str">
        <f t="shared" si="24"/>
        <v/>
      </c>
      <c r="K172" s="452">
        <f t="shared" si="29"/>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23"/>
        <v>0</v>
      </c>
      <c r="J173" s="134" t="str">
        <f t="shared" si="24"/>
        <v/>
      </c>
      <c r="K173" s="460"/>
      <c r="L173" s="449"/>
      <c r="M173" s="41"/>
      <c r="N173" s="41"/>
      <c r="O173" s="41"/>
      <c r="P173" s="41"/>
      <c r="Q173" s="41"/>
      <c r="R173" s="41"/>
      <c r="S173" s="41"/>
      <c r="T173" s="41"/>
      <c r="U173" s="41"/>
      <c r="V173" s="41"/>
      <c r="W173" s="41"/>
    </row>
    <row r="174" spans="1:23" ht="12" customHeight="1" x14ac:dyDescent="0.2">
      <c r="A174" s="36" t="s">
        <v>819</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823</v>
      </c>
      <c r="B175" s="418">
        <v>1</v>
      </c>
      <c r="C175" s="713"/>
      <c r="D175" s="714"/>
      <c r="E175" s="715"/>
      <c r="F175" s="716"/>
      <c r="G175" s="715"/>
      <c r="H175" s="716"/>
      <c r="I175" s="45">
        <f t="shared" si="23"/>
        <v>0</v>
      </c>
      <c r="J175" s="333" t="str">
        <f t="shared" si="24"/>
        <v/>
      </c>
      <c r="K175" s="717"/>
      <c r="L175" s="449"/>
      <c r="M175" s="41"/>
      <c r="N175" s="41"/>
      <c r="O175" s="41"/>
      <c r="P175" s="41"/>
      <c r="Q175" s="41"/>
      <c r="R175" s="41"/>
      <c r="S175" s="41"/>
      <c r="T175" s="41"/>
      <c r="U175" s="41"/>
      <c r="V175" s="41"/>
      <c r="W175" s="41"/>
    </row>
    <row r="176" spans="1:23" ht="11.25" customHeight="1" x14ac:dyDescent="0.2">
      <c r="A176" s="469" t="str">
        <f>'Org structure'!A2</f>
        <v>Vote 1 - Chef Operations Office</v>
      </c>
      <c r="B176" s="470"/>
      <c r="C176" s="510">
        <f t="shared" ref="C176:K176" si="30">SUM(C177:C186)</f>
        <v>0</v>
      </c>
      <c r="D176" s="474">
        <f t="shared" si="30"/>
        <v>5010000</v>
      </c>
      <c r="E176" s="471">
        <f t="shared" si="30"/>
        <v>2840004</v>
      </c>
      <c r="F176" s="473">
        <f t="shared" si="30"/>
        <v>0</v>
      </c>
      <c r="G176" s="471">
        <f t="shared" si="30"/>
        <v>500000.00150000001</v>
      </c>
      <c r="H176" s="473">
        <f t="shared" si="30"/>
        <v>1183335</v>
      </c>
      <c r="I176" s="45">
        <f t="shared" si="23"/>
        <v>-683334.99849999999</v>
      </c>
      <c r="J176" s="333">
        <f t="shared" si="24"/>
        <v>-0.57746538258396818</v>
      </c>
      <c r="K176" s="472">
        <f t="shared" si="30"/>
        <v>2840004</v>
      </c>
      <c r="L176" s="449"/>
      <c r="M176" s="41"/>
      <c r="N176" s="41"/>
      <c r="O176" s="41"/>
      <c r="P176" s="41"/>
      <c r="Q176" s="41"/>
      <c r="R176" s="41"/>
      <c r="S176" s="41"/>
      <c r="T176" s="41"/>
      <c r="U176" s="41"/>
      <c r="V176" s="41"/>
      <c r="W176" s="41"/>
    </row>
    <row r="177" spans="1:23" ht="11.25" customHeight="1" x14ac:dyDescent="0.2">
      <c r="A177" s="410" t="str">
        <f>'Org structure'!E3</f>
        <v>1.1 - Chef Operations Office (administration)</v>
      </c>
      <c r="B177" s="448"/>
      <c r="C177" s="754">
        <v>0</v>
      </c>
      <c r="D177" s="755">
        <v>0</v>
      </c>
      <c r="E177" s="743">
        <v>0</v>
      </c>
      <c r="F177" s="756">
        <v>0</v>
      </c>
      <c r="G177" s="743">
        <v>0</v>
      </c>
      <c r="H177" s="756">
        <v>0</v>
      </c>
      <c r="I177" s="45">
        <f t="shared" si="23"/>
        <v>0</v>
      </c>
      <c r="J177" s="333" t="str">
        <f t="shared" si="24"/>
        <v/>
      </c>
      <c r="K177" s="757">
        <f>D177</f>
        <v>0</v>
      </c>
      <c r="L177" s="449"/>
      <c r="M177" s="41"/>
      <c r="N177" s="41"/>
      <c r="O177" s="41"/>
      <c r="P177" s="41"/>
      <c r="Q177" s="41"/>
      <c r="R177" s="41"/>
      <c r="S177" s="41"/>
      <c r="T177" s="41"/>
      <c r="U177" s="41"/>
      <c r="V177" s="41"/>
      <c r="W177" s="41"/>
    </row>
    <row r="178" spans="1:23" ht="11.25" customHeight="1" x14ac:dyDescent="0.2">
      <c r="A178" s="410" t="str">
        <f>'Org structure'!E4</f>
        <v>1.2 - Legislative support</v>
      </c>
      <c r="B178" s="448"/>
      <c r="C178" s="754">
        <v>0</v>
      </c>
      <c r="D178" s="755">
        <v>0</v>
      </c>
      <c r="E178" s="743">
        <v>0</v>
      </c>
      <c r="F178" s="756">
        <v>0</v>
      </c>
      <c r="G178" s="743">
        <v>0</v>
      </c>
      <c r="H178" s="756">
        <v>0</v>
      </c>
      <c r="I178" s="45">
        <f t="shared" si="23"/>
        <v>0</v>
      </c>
      <c r="J178" s="333" t="str">
        <f t="shared" si="24"/>
        <v/>
      </c>
      <c r="K178" s="757">
        <f t="shared" ref="K178:K186" si="31">D178</f>
        <v>0</v>
      </c>
      <c r="L178" s="449"/>
      <c r="M178" s="41"/>
      <c r="N178" s="41"/>
      <c r="O178" s="41"/>
      <c r="P178" s="41"/>
      <c r="Q178" s="41"/>
      <c r="R178" s="41"/>
      <c r="S178" s="41"/>
      <c r="T178" s="41"/>
      <c r="U178" s="41"/>
      <c r="V178" s="41"/>
      <c r="W178" s="41"/>
    </row>
    <row r="179" spans="1:23" ht="11.25" customHeight="1" x14ac:dyDescent="0.2">
      <c r="A179" s="410" t="str">
        <f>'Org structure'!E5</f>
        <v>1.3 - Legal Services</v>
      </c>
      <c r="B179" s="448"/>
      <c r="C179" s="754">
        <v>0</v>
      </c>
      <c r="D179" s="755">
        <v>0</v>
      </c>
      <c r="E179" s="743">
        <v>0</v>
      </c>
      <c r="F179" s="756">
        <v>0</v>
      </c>
      <c r="G179" s="743">
        <v>0</v>
      </c>
      <c r="H179" s="756">
        <v>0</v>
      </c>
      <c r="I179" s="45">
        <f t="shared" si="23"/>
        <v>0</v>
      </c>
      <c r="J179" s="333" t="str">
        <f t="shared" si="24"/>
        <v/>
      </c>
      <c r="K179" s="757">
        <f t="shared" si="31"/>
        <v>0</v>
      </c>
      <c r="L179" s="449"/>
      <c r="M179" s="41"/>
      <c r="N179" s="41"/>
      <c r="O179" s="41"/>
      <c r="P179" s="41"/>
      <c r="Q179" s="41"/>
      <c r="R179" s="41"/>
      <c r="S179" s="41"/>
      <c r="T179" s="41"/>
      <c r="U179" s="41"/>
      <c r="V179" s="41"/>
      <c r="W179" s="41"/>
    </row>
    <row r="180" spans="1:23" ht="11.25" customHeight="1" x14ac:dyDescent="0.2">
      <c r="A180" s="410" t="str">
        <f>'Org structure'!E6</f>
        <v>1.4 - IDP</v>
      </c>
      <c r="B180" s="448"/>
      <c r="C180" s="754">
        <v>0</v>
      </c>
      <c r="D180" s="755">
        <v>0</v>
      </c>
      <c r="E180" s="743">
        <v>0</v>
      </c>
      <c r="F180" s="756">
        <v>0</v>
      </c>
      <c r="G180" s="743">
        <v>0</v>
      </c>
      <c r="H180" s="756">
        <v>0</v>
      </c>
      <c r="I180" s="45">
        <f t="shared" si="23"/>
        <v>0</v>
      </c>
      <c r="J180" s="333" t="str">
        <f t="shared" si="24"/>
        <v/>
      </c>
      <c r="K180" s="757">
        <f t="shared" si="31"/>
        <v>0</v>
      </c>
      <c r="L180" s="449"/>
      <c r="M180" s="41"/>
      <c r="N180" s="41"/>
      <c r="O180" s="41"/>
      <c r="P180" s="41"/>
      <c r="Q180" s="41"/>
      <c r="R180" s="41"/>
      <c r="S180" s="41"/>
      <c r="T180" s="41"/>
      <c r="U180" s="41"/>
      <c r="V180" s="41"/>
      <c r="W180" s="41"/>
    </row>
    <row r="181" spans="1:23" ht="11.25" customHeight="1" x14ac:dyDescent="0.2">
      <c r="A181" s="410" t="str">
        <f>'Org structure'!E7</f>
        <v>1.5 - Communications and Marketing</v>
      </c>
      <c r="B181" s="448"/>
      <c r="C181" s="754">
        <v>0</v>
      </c>
      <c r="D181" s="755">
        <v>0</v>
      </c>
      <c r="E181" s="743">
        <v>0</v>
      </c>
      <c r="F181" s="756">
        <v>0</v>
      </c>
      <c r="G181" s="743">
        <v>0</v>
      </c>
      <c r="H181" s="756">
        <v>0</v>
      </c>
      <c r="I181" s="45">
        <f t="shared" si="23"/>
        <v>0</v>
      </c>
      <c r="J181" s="333" t="str">
        <f t="shared" si="24"/>
        <v/>
      </c>
      <c r="K181" s="757">
        <f t="shared" si="31"/>
        <v>0</v>
      </c>
      <c r="L181" s="449"/>
      <c r="M181" s="41"/>
      <c r="N181" s="41"/>
      <c r="O181" s="41"/>
      <c r="P181" s="41"/>
      <c r="Q181" s="41"/>
      <c r="R181" s="41"/>
      <c r="S181" s="41"/>
      <c r="T181" s="41"/>
      <c r="U181" s="41"/>
      <c r="V181" s="41"/>
      <c r="W181" s="41"/>
    </row>
    <row r="182" spans="1:23" ht="11.25" customHeight="1" x14ac:dyDescent="0.2">
      <c r="A182" s="410" t="str">
        <f>'Org structure'!E8</f>
        <v>1.6 - Project Management Unit</v>
      </c>
      <c r="B182" s="448"/>
      <c r="C182" s="754">
        <v>0</v>
      </c>
      <c r="D182" s="755">
        <v>0</v>
      </c>
      <c r="E182" s="743">
        <v>0</v>
      </c>
      <c r="F182" s="756">
        <v>0</v>
      </c>
      <c r="G182" s="743">
        <v>0</v>
      </c>
      <c r="H182" s="756">
        <v>0</v>
      </c>
      <c r="I182" s="45">
        <f t="shared" si="23"/>
        <v>0</v>
      </c>
      <c r="J182" s="333" t="str">
        <f t="shared" si="24"/>
        <v/>
      </c>
      <c r="K182" s="757">
        <f t="shared" si="31"/>
        <v>0</v>
      </c>
      <c r="L182" s="449"/>
      <c r="M182" s="41"/>
      <c r="N182" s="41"/>
      <c r="O182" s="41"/>
      <c r="P182" s="41"/>
      <c r="Q182" s="41"/>
      <c r="R182" s="41"/>
      <c r="S182" s="41"/>
      <c r="T182" s="41"/>
      <c r="U182" s="41"/>
      <c r="V182" s="41"/>
      <c r="W182" s="41"/>
    </row>
    <row r="183" spans="1:23" ht="11.25" customHeight="1" x14ac:dyDescent="0.2">
      <c r="A183" s="410" t="str">
        <f>'Org structure'!E9</f>
        <v>1.7 - Performance Management</v>
      </c>
      <c r="B183" s="448"/>
      <c r="C183" s="754">
        <v>0</v>
      </c>
      <c r="D183" s="755">
        <v>0</v>
      </c>
      <c r="E183" s="743">
        <v>0</v>
      </c>
      <c r="F183" s="756">
        <v>0</v>
      </c>
      <c r="G183" s="743">
        <v>0</v>
      </c>
      <c r="H183" s="756">
        <v>0</v>
      </c>
      <c r="I183" s="45">
        <f t="shared" si="23"/>
        <v>0</v>
      </c>
      <c r="J183" s="333" t="str">
        <f t="shared" si="24"/>
        <v/>
      </c>
      <c r="K183" s="757">
        <f t="shared" si="31"/>
        <v>0</v>
      </c>
      <c r="L183" s="449"/>
      <c r="M183" s="41"/>
      <c r="N183" s="41"/>
      <c r="O183" s="41"/>
      <c r="P183" s="41"/>
      <c r="Q183" s="41"/>
      <c r="R183" s="41"/>
      <c r="S183" s="41"/>
      <c r="T183" s="41"/>
      <c r="U183" s="41"/>
      <c r="V183" s="41"/>
      <c r="W183" s="41"/>
    </row>
    <row r="184" spans="1:23" ht="11.25" customHeight="1" x14ac:dyDescent="0.2">
      <c r="A184" s="410" t="str">
        <f>'Org structure'!E10</f>
        <v>1.8 - Cluster Offices</v>
      </c>
      <c r="B184" s="448"/>
      <c r="C184" s="754">
        <v>0</v>
      </c>
      <c r="D184" s="755">
        <v>5010000</v>
      </c>
      <c r="E184" s="743">
        <v>2840004</v>
      </c>
      <c r="F184" s="756">
        <v>0</v>
      </c>
      <c r="G184" s="743">
        <v>500000.00150000001</v>
      </c>
      <c r="H184" s="756">
        <f>E184/12*5</f>
        <v>1183335</v>
      </c>
      <c r="I184" s="45">
        <f t="shared" si="23"/>
        <v>-683334.99849999999</v>
      </c>
      <c r="J184" s="333">
        <f t="shared" si="24"/>
        <v>-0.57746538258396818</v>
      </c>
      <c r="K184" s="757">
        <f>E184</f>
        <v>2840004</v>
      </c>
      <c r="L184" s="449"/>
      <c r="M184" s="41"/>
      <c r="N184" s="41"/>
      <c r="O184" s="41"/>
      <c r="P184" s="41"/>
      <c r="Q184" s="41"/>
      <c r="R184" s="41"/>
      <c r="S184" s="41"/>
      <c r="T184" s="41"/>
      <c r="U184" s="41"/>
      <c r="V184" s="41"/>
      <c r="W184" s="41"/>
    </row>
    <row r="185" spans="1:23" ht="11.25" customHeight="1" x14ac:dyDescent="0.2">
      <c r="A185" s="410" t="str">
        <f>'Org structure'!E11</f>
        <v>1.9 - Executive Support</v>
      </c>
      <c r="B185" s="448"/>
      <c r="C185" s="754">
        <v>0</v>
      </c>
      <c r="D185" s="755">
        <v>0</v>
      </c>
      <c r="E185" s="743">
        <v>0</v>
      </c>
      <c r="F185" s="756">
        <v>0</v>
      </c>
      <c r="G185" s="743">
        <v>0</v>
      </c>
      <c r="H185" s="756">
        <v>0</v>
      </c>
      <c r="I185" s="45">
        <f t="shared" si="23"/>
        <v>0</v>
      </c>
      <c r="J185" s="333" t="str">
        <f t="shared" si="24"/>
        <v/>
      </c>
      <c r="K185" s="757">
        <f t="shared" si="31"/>
        <v>0</v>
      </c>
      <c r="L185" s="449"/>
      <c r="M185" s="41"/>
      <c r="N185" s="41"/>
      <c r="O185" s="41"/>
      <c r="P185" s="41"/>
      <c r="Q185" s="41"/>
      <c r="R185" s="41"/>
      <c r="S185" s="41"/>
      <c r="T185" s="41"/>
      <c r="U185" s="41"/>
      <c r="V185" s="41"/>
      <c r="W185" s="41"/>
    </row>
    <row r="186" spans="1:23" ht="11.25" customHeight="1" x14ac:dyDescent="0.2">
      <c r="A186" s="410">
        <f>'Org structure'!E12</f>
        <v>0</v>
      </c>
      <c r="B186" s="448"/>
      <c r="C186" s="754">
        <v>0</v>
      </c>
      <c r="D186" s="755">
        <v>0</v>
      </c>
      <c r="E186" s="743">
        <v>0</v>
      </c>
      <c r="F186" s="756">
        <v>0</v>
      </c>
      <c r="G186" s="743">
        <v>0</v>
      </c>
      <c r="H186" s="756">
        <v>0</v>
      </c>
      <c r="I186" s="45">
        <f t="shared" si="23"/>
        <v>0</v>
      </c>
      <c r="J186" s="333" t="str">
        <f t="shared" si="24"/>
        <v/>
      </c>
      <c r="K186" s="757">
        <f t="shared" si="31"/>
        <v>0</v>
      </c>
      <c r="L186" s="49"/>
      <c r="M186" s="476"/>
      <c r="N186" s="476"/>
      <c r="O186" s="476"/>
      <c r="P186" s="476"/>
      <c r="Q186" s="476"/>
      <c r="R186" s="476"/>
      <c r="S186" s="476"/>
      <c r="T186" s="476"/>
      <c r="U186" s="476"/>
      <c r="V186" s="476"/>
      <c r="W186" s="476"/>
    </row>
    <row r="187" spans="1:23" ht="11.25" customHeight="1" x14ac:dyDescent="0.2">
      <c r="A187" s="469" t="str">
        <f>'Org structure'!A3</f>
        <v>Vote 2 - Municipal Manger Office</v>
      </c>
      <c r="B187" s="443"/>
      <c r="C187" s="506">
        <f>SUM(C188:C197)</f>
        <v>0</v>
      </c>
      <c r="D187" s="447">
        <f>SUM(D188:D197)</f>
        <v>0</v>
      </c>
      <c r="E187" s="444">
        <f t="shared" ref="E187:K187" si="32">SUM(E188:E197)</f>
        <v>0</v>
      </c>
      <c r="F187" s="446">
        <f t="shared" si="32"/>
        <v>0</v>
      </c>
      <c r="G187" s="444">
        <f t="shared" si="32"/>
        <v>0</v>
      </c>
      <c r="H187" s="446">
        <f t="shared" si="32"/>
        <v>0</v>
      </c>
      <c r="I187" s="45">
        <f t="shared" si="23"/>
        <v>0</v>
      </c>
      <c r="J187" s="333" t="str">
        <f t="shared" si="24"/>
        <v/>
      </c>
      <c r="K187" s="445">
        <f t="shared" si="32"/>
        <v>0</v>
      </c>
      <c r="L187" s="49"/>
      <c r="M187" s="476"/>
      <c r="N187" s="476"/>
      <c r="O187" s="476"/>
      <c r="P187" s="476"/>
      <c r="Q187" s="476"/>
      <c r="R187" s="476"/>
      <c r="S187" s="476"/>
      <c r="T187" s="476"/>
      <c r="U187" s="476"/>
      <c r="V187" s="476"/>
      <c r="W187" s="476"/>
    </row>
    <row r="188" spans="1:23" ht="11.25" customHeight="1" x14ac:dyDescent="0.2">
      <c r="A188" s="410" t="str">
        <f>'Org structure'!E14</f>
        <v>2.1 - COUNCIL</v>
      </c>
      <c r="B188" s="448"/>
      <c r="C188" s="754">
        <v>0</v>
      </c>
      <c r="D188" s="755">
        <v>0</v>
      </c>
      <c r="E188" s="743">
        <v>0</v>
      </c>
      <c r="F188" s="756">
        <v>0</v>
      </c>
      <c r="G188" s="743">
        <v>0</v>
      </c>
      <c r="H188" s="756">
        <v>0</v>
      </c>
      <c r="I188" s="45">
        <f t="shared" si="23"/>
        <v>0</v>
      </c>
      <c r="J188" s="333" t="str">
        <f t="shared" si="24"/>
        <v/>
      </c>
      <c r="K188" s="757">
        <f t="shared" ref="K188:K197" si="33">D188</f>
        <v>0</v>
      </c>
      <c r="L188" s="49"/>
      <c r="M188" s="476"/>
      <c r="N188" s="476"/>
      <c r="O188" s="476"/>
      <c r="P188" s="476"/>
      <c r="Q188" s="476"/>
      <c r="R188" s="476"/>
      <c r="S188" s="476"/>
      <c r="T188" s="476"/>
      <c r="U188" s="476"/>
      <c r="V188" s="476"/>
      <c r="W188" s="476"/>
    </row>
    <row r="189" spans="1:23" ht="11.25" customHeight="1" x14ac:dyDescent="0.2">
      <c r="A189" s="410" t="str">
        <f>'Org structure'!E15</f>
        <v>2.2 - Municipal Manager</v>
      </c>
      <c r="B189" s="448"/>
      <c r="C189" s="754">
        <v>0</v>
      </c>
      <c r="D189" s="755">
        <v>0</v>
      </c>
      <c r="E189" s="743">
        <v>0</v>
      </c>
      <c r="F189" s="756">
        <v>0</v>
      </c>
      <c r="G189" s="743">
        <v>0</v>
      </c>
      <c r="H189" s="756">
        <v>0</v>
      </c>
      <c r="I189" s="45">
        <f t="shared" si="23"/>
        <v>0</v>
      </c>
      <c r="J189" s="333" t="str">
        <f t="shared" si="24"/>
        <v/>
      </c>
      <c r="K189" s="757">
        <f t="shared" si="33"/>
        <v>0</v>
      </c>
      <c r="L189" s="49"/>
      <c r="M189" s="476"/>
      <c r="N189" s="476"/>
      <c r="O189" s="476"/>
      <c r="P189" s="476"/>
      <c r="Q189" s="476"/>
      <c r="R189" s="476"/>
      <c r="S189" s="476"/>
      <c r="T189" s="476"/>
      <c r="U189" s="476"/>
      <c r="V189" s="476"/>
      <c r="W189" s="476"/>
    </row>
    <row r="190" spans="1:23" ht="11.25" customHeight="1" x14ac:dyDescent="0.2">
      <c r="A190" s="410" t="str">
        <f>'Org structure'!E16</f>
        <v>2.3 - Risk Management</v>
      </c>
      <c r="B190" s="448"/>
      <c r="C190" s="754">
        <v>0</v>
      </c>
      <c r="D190" s="755">
        <v>0</v>
      </c>
      <c r="E190" s="743">
        <v>0</v>
      </c>
      <c r="F190" s="756">
        <v>0</v>
      </c>
      <c r="G190" s="743">
        <v>0</v>
      </c>
      <c r="H190" s="756">
        <v>0</v>
      </c>
      <c r="I190" s="45">
        <f t="shared" si="23"/>
        <v>0</v>
      </c>
      <c r="J190" s="333" t="str">
        <f t="shared" si="24"/>
        <v/>
      </c>
      <c r="K190" s="757">
        <f t="shared" si="33"/>
        <v>0</v>
      </c>
      <c r="L190" s="49"/>
      <c r="M190" s="476"/>
      <c r="N190" s="476"/>
      <c r="O190" s="476"/>
      <c r="P190" s="476"/>
      <c r="Q190" s="476"/>
      <c r="R190" s="476"/>
      <c r="S190" s="476"/>
      <c r="T190" s="476"/>
      <c r="U190" s="476"/>
      <c r="V190" s="476"/>
      <c r="W190" s="476"/>
    </row>
    <row r="191" spans="1:23" ht="11.25" customHeight="1" x14ac:dyDescent="0.2">
      <c r="A191" s="410" t="str">
        <f>'Org structure'!E17</f>
        <v>2.4 - Internal Audit</v>
      </c>
      <c r="B191" s="448"/>
      <c r="C191" s="754">
        <v>0</v>
      </c>
      <c r="D191" s="755">
        <v>0</v>
      </c>
      <c r="E191" s="743">
        <v>0</v>
      </c>
      <c r="F191" s="756">
        <v>0</v>
      </c>
      <c r="G191" s="743">
        <v>0</v>
      </c>
      <c r="H191" s="756">
        <v>0</v>
      </c>
      <c r="I191" s="45">
        <f t="shared" si="23"/>
        <v>0</v>
      </c>
      <c r="J191" s="333" t="str">
        <f t="shared" si="24"/>
        <v/>
      </c>
      <c r="K191" s="757">
        <f t="shared" si="33"/>
        <v>0</v>
      </c>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v>0</v>
      </c>
      <c r="D192" s="755">
        <v>0</v>
      </c>
      <c r="E192" s="743">
        <v>0</v>
      </c>
      <c r="F192" s="756">
        <v>0</v>
      </c>
      <c r="G192" s="743">
        <v>0</v>
      </c>
      <c r="H192" s="756">
        <v>0</v>
      </c>
      <c r="I192" s="45">
        <f t="shared" si="23"/>
        <v>0</v>
      </c>
      <c r="J192" s="333" t="str">
        <f t="shared" si="24"/>
        <v/>
      </c>
      <c r="K192" s="757">
        <f t="shared" si="33"/>
        <v>0</v>
      </c>
      <c r="L192" s="49"/>
      <c r="M192" s="476"/>
      <c r="N192" s="476"/>
      <c r="O192" s="476"/>
      <c r="P192" s="476"/>
      <c r="Q192" s="476"/>
      <c r="R192" s="476"/>
      <c r="S192" s="476"/>
      <c r="T192" s="476"/>
      <c r="U192" s="476"/>
      <c r="V192" s="476"/>
      <c r="W192" s="476"/>
    </row>
    <row r="193" spans="1:28" ht="11.25" customHeight="1" x14ac:dyDescent="0.2">
      <c r="A193" s="410">
        <f>'Org structure'!E19</f>
        <v>0</v>
      </c>
      <c r="B193" s="448"/>
      <c r="C193" s="754">
        <v>0</v>
      </c>
      <c r="D193" s="755">
        <v>0</v>
      </c>
      <c r="E193" s="743">
        <v>0</v>
      </c>
      <c r="F193" s="756">
        <v>0</v>
      </c>
      <c r="G193" s="743">
        <v>0</v>
      </c>
      <c r="H193" s="756">
        <v>0</v>
      </c>
      <c r="I193" s="45">
        <f t="shared" si="23"/>
        <v>0</v>
      </c>
      <c r="J193" s="333" t="str">
        <f t="shared" si="24"/>
        <v/>
      </c>
      <c r="K193" s="757">
        <f t="shared" si="33"/>
        <v>0</v>
      </c>
      <c r="L193" s="49"/>
      <c r="M193" s="476"/>
      <c r="N193" s="476"/>
      <c r="O193" s="476"/>
      <c r="P193" s="476"/>
      <c r="Q193" s="476"/>
      <c r="R193" s="476"/>
      <c r="S193" s="476"/>
      <c r="T193" s="476"/>
      <c r="U193" s="476"/>
      <c r="V193" s="476"/>
      <c r="W193" s="476"/>
    </row>
    <row r="194" spans="1:28" ht="11.25" customHeight="1" x14ac:dyDescent="0.2">
      <c r="A194" s="410">
        <f>'Org structure'!E20</f>
        <v>0</v>
      </c>
      <c r="B194" s="448"/>
      <c r="C194" s="754">
        <v>0</v>
      </c>
      <c r="D194" s="755">
        <v>0</v>
      </c>
      <c r="E194" s="743">
        <v>0</v>
      </c>
      <c r="F194" s="756">
        <v>0</v>
      </c>
      <c r="G194" s="743">
        <v>0</v>
      </c>
      <c r="H194" s="756">
        <v>0</v>
      </c>
      <c r="I194" s="45">
        <f t="shared" si="23"/>
        <v>0</v>
      </c>
      <c r="J194" s="333" t="str">
        <f t="shared" si="24"/>
        <v/>
      </c>
      <c r="K194" s="757">
        <f t="shared" si="33"/>
        <v>0</v>
      </c>
      <c r="L194" s="49"/>
      <c r="M194" s="476"/>
      <c r="N194" s="476"/>
      <c r="O194" s="476"/>
      <c r="P194" s="476"/>
      <c r="Q194" s="476"/>
      <c r="R194" s="476"/>
      <c r="S194" s="476"/>
      <c r="T194" s="476"/>
      <c r="U194" s="476"/>
      <c r="V194" s="476"/>
      <c r="W194" s="476"/>
    </row>
    <row r="195" spans="1:28" ht="11.25" customHeight="1" x14ac:dyDescent="0.2">
      <c r="A195" s="410">
        <f>'Org structure'!E21</f>
        <v>0</v>
      </c>
      <c r="B195" s="448"/>
      <c r="C195" s="754">
        <v>0</v>
      </c>
      <c r="D195" s="755">
        <v>0</v>
      </c>
      <c r="E195" s="743">
        <v>0</v>
      </c>
      <c r="F195" s="756">
        <v>0</v>
      </c>
      <c r="G195" s="743">
        <v>0</v>
      </c>
      <c r="H195" s="756">
        <v>0</v>
      </c>
      <c r="I195" s="45">
        <f t="shared" si="23"/>
        <v>0</v>
      </c>
      <c r="J195" s="333" t="str">
        <f t="shared" si="24"/>
        <v/>
      </c>
      <c r="K195" s="757">
        <f t="shared" si="33"/>
        <v>0</v>
      </c>
      <c r="L195" s="49"/>
      <c r="M195" s="476"/>
      <c r="N195" s="476"/>
      <c r="O195" s="476"/>
      <c r="P195" s="476"/>
      <c r="Q195" s="476"/>
      <c r="R195" s="476"/>
      <c r="S195" s="476"/>
      <c r="T195" s="476"/>
      <c r="U195" s="476"/>
      <c r="V195" s="476"/>
      <c r="W195" s="476"/>
    </row>
    <row r="196" spans="1:28" ht="11.25" customHeight="1" x14ac:dyDescent="0.2">
      <c r="A196" s="410">
        <f>'Org structure'!E22</f>
        <v>0</v>
      </c>
      <c r="B196" s="448"/>
      <c r="C196" s="754">
        <v>0</v>
      </c>
      <c r="D196" s="755">
        <v>0</v>
      </c>
      <c r="E196" s="743">
        <v>0</v>
      </c>
      <c r="F196" s="756">
        <v>0</v>
      </c>
      <c r="G196" s="743">
        <v>0</v>
      </c>
      <c r="H196" s="756">
        <v>0</v>
      </c>
      <c r="I196" s="45">
        <f t="shared" si="23"/>
        <v>0</v>
      </c>
      <c r="J196" s="333" t="str">
        <f t="shared" si="24"/>
        <v/>
      </c>
      <c r="K196" s="757">
        <f t="shared" si="33"/>
        <v>0</v>
      </c>
      <c r="L196" s="49"/>
      <c r="M196" s="476"/>
      <c r="N196" s="476"/>
      <c r="O196" s="476"/>
      <c r="P196" s="476"/>
      <c r="Q196" s="476"/>
      <c r="R196" s="476"/>
      <c r="S196" s="476"/>
      <c r="T196" s="476"/>
      <c r="U196" s="476"/>
      <c r="V196" s="476"/>
      <c r="W196" s="476"/>
    </row>
    <row r="197" spans="1:28" ht="11.25" customHeight="1" x14ac:dyDescent="0.2">
      <c r="A197" s="410">
        <f>'Org structure'!E23</f>
        <v>0</v>
      </c>
      <c r="B197" s="448"/>
      <c r="C197" s="754">
        <v>0</v>
      </c>
      <c r="D197" s="755">
        <v>0</v>
      </c>
      <c r="E197" s="743">
        <v>0</v>
      </c>
      <c r="F197" s="756">
        <v>0</v>
      </c>
      <c r="G197" s="743">
        <v>0</v>
      </c>
      <c r="H197" s="756">
        <v>0</v>
      </c>
      <c r="I197" s="45">
        <f t="shared" si="23"/>
        <v>0</v>
      </c>
      <c r="J197" s="333" t="str">
        <f t="shared" si="24"/>
        <v/>
      </c>
      <c r="K197" s="757">
        <f t="shared" si="33"/>
        <v>0</v>
      </c>
      <c r="L197" s="49"/>
      <c r="M197" s="476"/>
      <c r="N197" s="476"/>
      <c r="O197" s="476"/>
      <c r="P197" s="476"/>
      <c r="Q197" s="476"/>
      <c r="R197" s="476"/>
      <c r="S197" s="476"/>
      <c r="T197" s="476"/>
      <c r="U197" s="476"/>
      <c r="V197" s="476"/>
      <c r="W197" s="476"/>
    </row>
    <row r="198" spans="1:28" ht="11.25" customHeight="1" x14ac:dyDescent="0.2">
      <c r="A198" s="469" t="str">
        <f>'Org structure'!A4</f>
        <v>Vote 3 - Water and Sanitation</v>
      </c>
      <c r="B198" s="443"/>
      <c r="C198" s="506">
        <f t="shared" ref="C198:K198" si="34">SUM(C199:C208)</f>
        <v>637033333.03299999</v>
      </c>
      <c r="D198" s="447">
        <f t="shared" si="34"/>
        <v>924650632</v>
      </c>
      <c r="E198" s="444">
        <f>SUM(E199:E208)</f>
        <v>906285636</v>
      </c>
      <c r="F198" s="446">
        <f t="shared" si="34"/>
        <v>83348887.674500003</v>
      </c>
      <c r="G198" s="444">
        <f t="shared" si="34"/>
        <v>277184663.20799994</v>
      </c>
      <c r="H198" s="446">
        <f t="shared" si="34"/>
        <v>377619015</v>
      </c>
      <c r="I198" s="45">
        <f t="shared" si="23"/>
        <v>-100434351.79200006</v>
      </c>
      <c r="J198" s="333">
        <f t="shared" si="24"/>
        <v>-0.26596741107436039</v>
      </c>
      <c r="K198" s="445">
        <f t="shared" si="34"/>
        <v>906285628</v>
      </c>
      <c r="L198" s="49"/>
      <c r="M198" s="476"/>
      <c r="N198" s="476"/>
      <c r="O198" s="476"/>
      <c r="P198" s="476"/>
      <c r="Q198" s="476"/>
      <c r="R198" s="476"/>
      <c r="S198" s="476"/>
      <c r="T198" s="476"/>
      <c r="U198" s="476"/>
      <c r="V198" s="476"/>
      <c r="W198" s="476"/>
    </row>
    <row r="199" spans="1:28" ht="11.25" customHeight="1" x14ac:dyDescent="0.2">
      <c r="A199" s="410" t="str">
        <f>'Org structure'!E25</f>
        <v>3.1 - Water and sanitation admin</v>
      </c>
      <c r="B199" s="448"/>
      <c r="C199" s="754">
        <v>0</v>
      </c>
      <c r="D199" s="755">
        <v>0</v>
      </c>
      <c r="E199" s="743">
        <v>0</v>
      </c>
      <c r="F199" s="756">
        <v>0</v>
      </c>
      <c r="G199" s="743">
        <v>0</v>
      </c>
      <c r="H199" s="756">
        <f t="shared" ref="H199:H208" si="35">E199/12*5</f>
        <v>0</v>
      </c>
      <c r="I199" s="45">
        <f t="shared" si="23"/>
        <v>0</v>
      </c>
      <c r="J199" s="333" t="str">
        <f t="shared" si="24"/>
        <v/>
      </c>
      <c r="K199" s="757">
        <f t="shared" ref="K199:K208" si="36">D199</f>
        <v>0</v>
      </c>
      <c r="L199" s="49"/>
      <c r="M199" s="476"/>
      <c r="N199" s="476"/>
      <c r="O199" s="476"/>
      <c r="P199" s="476"/>
      <c r="Q199" s="476"/>
      <c r="R199" s="476"/>
      <c r="S199" s="476"/>
      <c r="T199" s="476"/>
      <c r="U199" s="476"/>
      <c r="V199" s="476"/>
      <c r="W199" s="476"/>
    </row>
    <row r="200" spans="1:28" ht="11.25" customHeight="1" x14ac:dyDescent="0.2">
      <c r="A200" s="410" t="str">
        <f>'Org structure'!E26</f>
        <v>3.2 - Reticulation, Distribution and Maitenance, Water Demand and Coservation</v>
      </c>
      <c r="B200" s="448"/>
      <c r="C200" s="754">
        <v>0</v>
      </c>
      <c r="D200" s="755">
        <v>0</v>
      </c>
      <c r="E200" s="743">
        <v>0</v>
      </c>
      <c r="F200" s="756">
        <v>0</v>
      </c>
      <c r="G200" s="743">
        <v>0</v>
      </c>
      <c r="H200" s="756">
        <f t="shared" si="35"/>
        <v>0</v>
      </c>
      <c r="I200" s="45">
        <f t="shared" ref="I200:I263" si="37">G200-H200</f>
        <v>0</v>
      </c>
      <c r="J200" s="333" t="str">
        <f t="shared" ref="J200:J263" si="38">IF(I200=0,"",I200/H200)</f>
        <v/>
      </c>
      <c r="K200" s="757">
        <f t="shared" si="36"/>
        <v>0</v>
      </c>
      <c r="L200" s="49"/>
      <c r="M200" s="476"/>
      <c r="N200" s="476"/>
      <c r="O200" s="476"/>
      <c r="P200" s="476"/>
      <c r="Q200" s="476"/>
      <c r="R200" s="476"/>
      <c r="S200" s="476"/>
      <c r="T200" s="476"/>
      <c r="U200" s="476"/>
      <c r="V200" s="476"/>
      <c r="W200" s="476"/>
    </row>
    <row r="201" spans="1:28" ht="11.25" customHeight="1" x14ac:dyDescent="0.2">
      <c r="A201" s="410" t="str">
        <f>'Org structure'!E27</f>
        <v>3.3 - Operations, Water and Waste Water, Quality Management and Laboratory Services</v>
      </c>
      <c r="B201" s="448"/>
      <c r="C201" s="397">
        <v>0</v>
      </c>
      <c r="D201" s="755">
        <v>0</v>
      </c>
      <c r="E201" s="743">
        <v>0</v>
      </c>
      <c r="F201" s="756">
        <v>0</v>
      </c>
      <c r="G201" s="743">
        <v>0</v>
      </c>
      <c r="H201" s="756">
        <f t="shared" si="35"/>
        <v>0</v>
      </c>
      <c r="I201" s="45">
        <f t="shared" si="37"/>
        <v>0</v>
      </c>
      <c r="J201" s="333" t="str">
        <f t="shared" si="38"/>
        <v/>
      </c>
      <c r="K201" s="398">
        <f t="shared" si="36"/>
        <v>0</v>
      </c>
      <c r="L201" s="49"/>
      <c r="M201" s="476"/>
      <c r="N201" s="476"/>
      <c r="O201" s="476"/>
      <c r="P201" s="476"/>
      <c r="Q201" s="476"/>
      <c r="R201" s="476"/>
      <c r="S201" s="476"/>
      <c r="T201" s="476"/>
      <c r="U201" s="476"/>
      <c r="V201" s="476"/>
      <c r="W201" s="476"/>
    </row>
    <row r="202" spans="1:28" ht="11.25" customHeight="1" x14ac:dyDescent="0.2">
      <c r="A202" s="410" t="str">
        <f>'Org structure'!E28</f>
        <v>3.4 - Quality Monitoring Services</v>
      </c>
      <c r="B202" s="448"/>
      <c r="C202" s="397">
        <v>398996163.2755</v>
      </c>
      <c r="D202" s="755">
        <v>507947652</v>
      </c>
      <c r="E202" s="743">
        <v>489582648</v>
      </c>
      <c r="F202" s="756">
        <v>61261614.833000004</v>
      </c>
      <c r="G202" s="743">
        <v>195743428.64199999</v>
      </c>
      <c r="H202" s="756">
        <f t="shared" si="35"/>
        <v>203992770</v>
      </c>
      <c r="I202" s="45">
        <f t="shared" si="37"/>
        <v>-8249341.3580000103</v>
      </c>
      <c r="J202" s="333">
        <f t="shared" si="38"/>
        <v>-4.0439381052573629E-2</v>
      </c>
      <c r="K202" s="398">
        <f>E202</f>
        <v>489582648</v>
      </c>
      <c r="L202" s="49"/>
      <c r="M202" s="476"/>
      <c r="N202" s="476"/>
      <c r="O202" s="476"/>
      <c r="P202" s="476"/>
      <c r="Q202" s="476"/>
      <c r="R202" s="476"/>
      <c r="S202" s="476"/>
      <c r="T202" s="476"/>
      <c r="U202" s="476"/>
      <c r="V202" s="476"/>
      <c r="W202" s="476"/>
    </row>
    <row r="203" spans="1:28" ht="11.25" customHeight="1" x14ac:dyDescent="0.2">
      <c r="A203" s="410" t="str">
        <f>'Org structure'!E29</f>
        <v>3.5 - Infrastructure Development, Planning and Reticulation Design</v>
      </c>
      <c r="B203" s="448"/>
      <c r="C203" s="397">
        <v>238037169.75749999</v>
      </c>
      <c r="D203" s="755">
        <f>416702988-8</f>
        <v>416702980</v>
      </c>
      <c r="E203" s="743">
        <v>416702988</v>
      </c>
      <c r="F203" s="756">
        <v>22087272.841499999</v>
      </c>
      <c r="G203" s="743">
        <v>81441234.565999985</v>
      </c>
      <c r="H203" s="756">
        <f t="shared" si="35"/>
        <v>173626245</v>
      </c>
      <c r="I203" s="45">
        <f t="shared" si="37"/>
        <v>-92185010.434000015</v>
      </c>
      <c r="J203" s="333">
        <f t="shared" si="38"/>
        <v>-0.53093937747717812</v>
      </c>
      <c r="K203" s="398">
        <f t="shared" si="36"/>
        <v>416702980</v>
      </c>
      <c r="L203" s="49"/>
      <c r="M203" s="476"/>
      <c r="N203" s="476"/>
      <c r="O203" s="476"/>
      <c r="P203" s="476"/>
      <c r="Q203" s="476"/>
      <c r="R203" s="476"/>
      <c r="S203" s="476"/>
      <c r="T203" s="476"/>
      <c r="U203" s="476"/>
      <c r="V203" s="476"/>
      <c r="W203" s="476"/>
    </row>
    <row r="204" spans="1:28" ht="11.25" customHeight="1" x14ac:dyDescent="0.2">
      <c r="A204" s="410">
        <f>'Org structure'!E30</f>
        <v>0</v>
      </c>
      <c r="B204" s="448"/>
      <c r="C204" s="397">
        <v>0</v>
      </c>
      <c r="D204" s="755">
        <v>0</v>
      </c>
      <c r="E204" s="743">
        <v>0</v>
      </c>
      <c r="F204" s="756">
        <v>0</v>
      </c>
      <c r="G204" s="743">
        <v>0</v>
      </c>
      <c r="H204" s="756">
        <f t="shared" si="35"/>
        <v>0</v>
      </c>
      <c r="I204" s="45">
        <f t="shared" si="37"/>
        <v>0</v>
      </c>
      <c r="J204" s="333" t="str">
        <f t="shared" si="38"/>
        <v/>
      </c>
      <c r="K204" s="398">
        <f t="shared" si="36"/>
        <v>0</v>
      </c>
      <c r="L204" s="49"/>
      <c r="M204" s="476"/>
      <c r="N204" s="476"/>
      <c r="O204" s="476"/>
      <c r="P204" s="476"/>
      <c r="Q204" s="476"/>
      <c r="R204" s="476"/>
      <c r="S204" s="476"/>
      <c r="T204" s="476"/>
      <c r="U204" s="476"/>
      <c r="V204" s="476"/>
      <c r="W204" s="476"/>
      <c r="AB204" s="25" t="s">
        <v>599</v>
      </c>
    </row>
    <row r="205" spans="1:28" ht="11.25" customHeight="1" x14ac:dyDescent="0.2">
      <c r="A205" s="410">
        <f>'Org structure'!E31</f>
        <v>0</v>
      </c>
      <c r="B205" s="448"/>
      <c r="C205" s="397">
        <v>0</v>
      </c>
      <c r="D205" s="755">
        <v>0</v>
      </c>
      <c r="E205" s="743">
        <v>0</v>
      </c>
      <c r="F205" s="756">
        <v>0</v>
      </c>
      <c r="G205" s="743">
        <v>0</v>
      </c>
      <c r="H205" s="756">
        <f t="shared" si="35"/>
        <v>0</v>
      </c>
      <c r="I205" s="45">
        <f t="shared" si="37"/>
        <v>0</v>
      </c>
      <c r="J205" s="333" t="str">
        <f t="shared" si="38"/>
        <v/>
      </c>
      <c r="K205" s="398">
        <f t="shared" si="36"/>
        <v>0</v>
      </c>
      <c r="L205" s="49"/>
      <c r="M205" s="476"/>
      <c r="N205" s="476"/>
      <c r="O205" s="476"/>
      <c r="P205" s="476"/>
      <c r="Q205" s="476"/>
      <c r="R205" s="476"/>
      <c r="S205" s="476"/>
      <c r="T205" s="476"/>
      <c r="U205" s="476"/>
      <c r="V205" s="476"/>
      <c r="W205" s="476"/>
    </row>
    <row r="206" spans="1:28" ht="11.25" customHeight="1" x14ac:dyDescent="0.2">
      <c r="A206" s="410">
        <f>'Org structure'!E32</f>
        <v>0</v>
      </c>
      <c r="B206" s="448"/>
      <c r="C206" s="397">
        <v>0</v>
      </c>
      <c r="D206" s="755">
        <v>0</v>
      </c>
      <c r="E206" s="743">
        <v>0</v>
      </c>
      <c r="F206" s="756">
        <v>0</v>
      </c>
      <c r="G206" s="743">
        <v>0</v>
      </c>
      <c r="H206" s="756">
        <f t="shared" si="35"/>
        <v>0</v>
      </c>
      <c r="I206" s="45">
        <f t="shared" si="37"/>
        <v>0</v>
      </c>
      <c r="J206" s="333" t="str">
        <f t="shared" si="38"/>
        <v/>
      </c>
      <c r="K206" s="398">
        <f t="shared" si="36"/>
        <v>0</v>
      </c>
      <c r="L206" s="49"/>
      <c r="M206" s="476"/>
      <c r="N206" s="476"/>
      <c r="O206" s="476"/>
      <c r="P206" s="476"/>
      <c r="Q206" s="476"/>
      <c r="R206" s="476"/>
      <c r="S206" s="476"/>
      <c r="T206" s="476"/>
      <c r="U206" s="476"/>
      <c r="V206" s="476"/>
      <c r="W206" s="476"/>
    </row>
    <row r="207" spans="1:28" ht="11.25" customHeight="1" x14ac:dyDescent="0.2">
      <c r="A207" s="410">
        <f>'Org structure'!E33</f>
        <v>0</v>
      </c>
      <c r="B207" s="448"/>
      <c r="C207" s="397">
        <v>0</v>
      </c>
      <c r="D207" s="386">
        <v>0</v>
      </c>
      <c r="E207" s="387">
        <v>0</v>
      </c>
      <c r="F207" s="475">
        <v>0</v>
      </c>
      <c r="G207" s="387">
        <v>0</v>
      </c>
      <c r="H207" s="756">
        <f t="shared" si="35"/>
        <v>0</v>
      </c>
      <c r="I207" s="45">
        <f t="shared" si="37"/>
        <v>0</v>
      </c>
      <c r="J207" s="333" t="str">
        <f t="shared" si="38"/>
        <v/>
      </c>
      <c r="K207" s="398">
        <f t="shared" si="36"/>
        <v>0</v>
      </c>
      <c r="L207" s="49"/>
      <c r="M207" s="476"/>
      <c r="N207" s="476"/>
      <c r="O207" s="476"/>
      <c r="P207" s="476"/>
      <c r="Q207" s="476"/>
      <c r="R207" s="476"/>
      <c r="S207" s="476"/>
      <c r="T207" s="476"/>
      <c r="U207" s="476"/>
      <c r="V207" s="476"/>
      <c r="W207" s="476"/>
    </row>
    <row r="208" spans="1:28" ht="11.25" customHeight="1" x14ac:dyDescent="0.2">
      <c r="A208" s="410">
        <f>'Org structure'!E34</f>
        <v>0</v>
      </c>
      <c r="B208" s="448"/>
      <c r="C208" s="397">
        <v>0</v>
      </c>
      <c r="D208" s="386">
        <v>0</v>
      </c>
      <c r="E208" s="387">
        <v>0</v>
      </c>
      <c r="F208" s="475">
        <v>0</v>
      </c>
      <c r="G208" s="387">
        <v>0</v>
      </c>
      <c r="H208" s="756">
        <f t="shared" si="35"/>
        <v>0</v>
      </c>
      <c r="I208" s="45">
        <f t="shared" si="37"/>
        <v>0</v>
      </c>
      <c r="J208" s="333" t="str">
        <f t="shared" si="38"/>
        <v/>
      </c>
      <c r="K208" s="398">
        <f t="shared" si="36"/>
        <v>0</v>
      </c>
      <c r="L208" s="49"/>
      <c r="M208" s="476"/>
      <c r="N208" s="476"/>
      <c r="O208" s="476"/>
      <c r="P208" s="476"/>
      <c r="Q208" s="476"/>
      <c r="R208" s="476"/>
      <c r="S208" s="476"/>
      <c r="T208" s="476"/>
      <c r="U208" s="476"/>
      <c r="V208" s="476"/>
      <c r="W208" s="476"/>
    </row>
    <row r="209" spans="1:23" ht="11.25" customHeight="1" x14ac:dyDescent="0.2">
      <c r="A209" s="469" t="str">
        <f>'Org structure'!A5</f>
        <v>Vote 4 - Energy Services</v>
      </c>
      <c r="B209" s="443"/>
      <c r="C209" s="506">
        <f t="shared" ref="C209:K209" si="39">SUM(C210:C219)</f>
        <v>37743513.567000002</v>
      </c>
      <c r="D209" s="447">
        <f t="shared" si="39"/>
        <v>62247496</v>
      </c>
      <c r="E209" s="444">
        <f>SUM(E210:E219)</f>
        <v>62247496</v>
      </c>
      <c r="F209" s="446">
        <f t="shared" si="39"/>
        <v>4136950.7749999999</v>
      </c>
      <c r="G209" s="444">
        <f t="shared" si="39"/>
        <v>8961735.3870000001</v>
      </c>
      <c r="H209" s="446">
        <f t="shared" si="39"/>
        <v>25936456.666666664</v>
      </c>
      <c r="I209" s="45">
        <f t="shared" si="37"/>
        <v>-16974721.279666662</v>
      </c>
      <c r="J209" s="333">
        <f t="shared" si="38"/>
        <v>-0.65447341160839612</v>
      </c>
      <c r="K209" s="445">
        <f t="shared" si="39"/>
        <v>62247496</v>
      </c>
      <c r="L209" s="49"/>
      <c r="M209" s="476"/>
      <c r="N209" s="476"/>
      <c r="O209" s="476"/>
      <c r="P209" s="476"/>
      <c r="Q209" s="476"/>
      <c r="R209" s="476"/>
      <c r="S209" s="476"/>
      <c r="T209" s="476"/>
      <c r="U209" s="476"/>
      <c r="V209" s="476"/>
      <c r="W209" s="476"/>
    </row>
    <row r="210" spans="1:23" ht="11.25" customHeight="1" x14ac:dyDescent="0.2">
      <c r="A210" s="410" t="str">
        <f>'Org structure'!E36</f>
        <v>4.1 - Energy Services Admin</v>
      </c>
      <c r="B210" s="448"/>
      <c r="C210" s="397">
        <v>0</v>
      </c>
      <c r="D210" s="386">
        <v>0</v>
      </c>
      <c r="E210" s="387">
        <v>0</v>
      </c>
      <c r="F210" s="475"/>
      <c r="G210" s="387"/>
      <c r="H210" s="387">
        <f t="shared" ref="H210:H219" si="40">E210/12*5</f>
        <v>0</v>
      </c>
      <c r="I210" s="45">
        <f t="shared" si="37"/>
        <v>0</v>
      </c>
      <c r="J210" s="333" t="str">
        <f t="shared" si="38"/>
        <v/>
      </c>
      <c r="K210" s="398">
        <f t="shared" ref="K210:K219" si="41">D210</f>
        <v>0</v>
      </c>
      <c r="L210" s="49"/>
      <c r="M210" s="476"/>
      <c r="N210" s="476"/>
      <c r="O210" s="476"/>
      <c r="P210" s="476"/>
      <c r="Q210" s="476"/>
      <c r="R210" s="476"/>
      <c r="S210" s="476"/>
      <c r="T210" s="476"/>
      <c r="U210" s="476"/>
      <c r="V210" s="476"/>
      <c r="W210" s="476"/>
    </row>
    <row r="211" spans="1:23" ht="11.25" customHeight="1" x14ac:dyDescent="0.2">
      <c r="A211" s="410" t="str">
        <f>'Org structure'!E37</f>
        <v>4.2 - Energy Operation and Maintenance Admininstration</v>
      </c>
      <c r="B211" s="448"/>
      <c r="C211" s="397">
        <v>0</v>
      </c>
      <c r="D211" s="386">
        <v>0</v>
      </c>
      <c r="E211" s="387">
        <v>0</v>
      </c>
      <c r="F211" s="475">
        <v>0</v>
      </c>
      <c r="G211" s="387">
        <v>0</v>
      </c>
      <c r="H211" s="387">
        <f t="shared" si="40"/>
        <v>0</v>
      </c>
      <c r="I211" s="45">
        <f t="shared" si="37"/>
        <v>0</v>
      </c>
      <c r="J211" s="333" t="str">
        <f t="shared" si="38"/>
        <v/>
      </c>
      <c r="K211" s="398">
        <f t="shared" si="41"/>
        <v>0</v>
      </c>
      <c r="L211" s="49"/>
      <c r="M211" s="476"/>
      <c r="N211" s="476"/>
      <c r="O211" s="476"/>
      <c r="P211" s="476"/>
      <c r="Q211" s="476"/>
      <c r="R211" s="476"/>
      <c r="S211" s="476"/>
      <c r="T211" s="476"/>
      <c r="U211" s="476"/>
      <c r="V211" s="476"/>
      <c r="W211" s="476"/>
    </row>
    <row r="212" spans="1:23" ht="11.25" customHeight="1" x14ac:dyDescent="0.2">
      <c r="A212" s="410" t="str">
        <f>'Org structure'!E38</f>
        <v>4.3 - Energy Services: 66KV Operations, Maitenance: Scada and Protection</v>
      </c>
      <c r="B212" s="448"/>
      <c r="C212" s="397">
        <v>0</v>
      </c>
      <c r="D212" s="386">
        <v>0</v>
      </c>
      <c r="E212" s="387">
        <v>0</v>
      </c>
      <c r="F212" s="475">
        <v>0</v>
      </c>
      <c r="G212" s="387">
        <v>0</v>
      </c>
      <c r="H212" s="387">
        <f t="shared" si="40"/>
        <v>0</v>
      </c>
      <c r="I212" s="45">
        <f t="shared" si="37"/>
        <v>0</v>
      </c>
      <c r="J212" s="333" t="str">
        <f t="shared" si="38"/>
        <v/>
      </c>
      <c r="K212" s="398">
        <f t="shared" si="41"/>
        <v>0</v>
      </c>
      <c r="L212" s="49"/>
      <c r="M212" s="476"/>
      <c r="N212" s="476"/>
      <c r="O212" s="476"/>
      <c r="P212" s="476"/>
      <c r="Q212" s="476"/>
      <c r="R212" s="476"/>
      <c r="S212" s="476"/>
      <c r="T212" s="476"/>
      <c r="U212" s="476"/>
      <c r="V212" s="476"/>
      <c r="W212" s="476"/>
    </row>
    <row r="213" spans="1:23" ht="11.25" customHeight="1" x14ac:dyDescent="0.2">
      <c r="A213" s="410" t="str">
        <f>'Org structure'!E39</f>
        <v>4.4 - Energy Services: 11KV Operations, Maitenance and Construction</v>
      </c>
      <c r="B213" s="448"/>
      <c r="C213" s="397">
        <v>0</v>
      </c>
      <c r="D213" s="386">
        <v>0</v>
      </c>
      <c r="E213" s="387">
        <v>0</v>
      </c>
      <c r="F213" s="475">
        <v>0</v>
      </c>
      <c r="G213" s="387">
        <v>0</v>
      </c>
      <c r="H213" s="387">
        <f t="shared" si="40"/>
        <v>0</v>
      </c>
      <c r="I213" s="45">
        <f t="shared" si="37"/>
        <v>0</v>
      </c>
      <c r="J213" s="333" t="str">
        <f t="shared" si="38"/>
        <v/>
      </c>
      <c r="K213" s="398">
        <f t="shared" si="41"/>
        <v>0</v>
      </c>
      <c r="L213" s="49"/>
      <c r="M213" s="476"/>
      <c r="N213" s="476"/>
      <c r="O213" s="476"/>
      <c r="P213" s="476"/>
      <c r="Q213" s="476"/>
      <c r="R213" s="476"/>
      <c r="S213" s="476"/>
      <c r="T213" s="476"/>
      <c r="U213" s="476"/>
      <c r="V213" s="476"/>
      <c r="W213" s="476"/>
    </row>
    <row r="214" spans="1:23" ht="11.25" customHeight="1" x14ac:dyDescent="0.2">
      <c r="A214" s="410" t="str">
        <f>'Org structure'!E40</f>
        <v>4.5 - Energy Services: Planning and development</v>
      </c>
      <c r="B214" s="448"/>
      <c r="C214" s="397">
        <v>37743513.567000002</v>
      </c>
      <c r="D214" s="386">
        <v>62247496</v>
      </c>
      <c r="E214" s="387">
        <v>62247496</v>
      </c>
      <c r="F214" s="475">
        <v>4136950.7749999999</v>
      </c>
      <c r="G214" s="387">
        <f>4824784.612+F214</f>
        <v>8961735.3870000001</v>
      </c>
      <c r="H214" s="387">
        <f t="shared" si="40"/>
        <v>25936456.666666664</v>
      </c>
      <c r="I214" s="45">
        <f t="shared" si="37"/>
        <v>-16974721.279666662</v>
      </c>
      <c r="J214" s="333">
        <f t="shared" si="38"/>
        <v>-0.65447341160839612</v>
      </c>
      <c r="K214" s="398">
        <f t="shared" si="41"/>
        <v>62247496</v>
      </c>
      <c r="L214" s="49"/>
      <c r="M214" s="476"/>
      <c r="N214" s="476"/>
      <c r="O214" s="476"/>
      <c r="P214" s="476"/>
      <c r="Q214" s="476"/>
      <c r="R214" s="476"/>
      <c r="S214" s="476"/>
      <c r="T214" s="476"/>
      <c r="U214" s="476"/>
      <c r="V214" s="476"/>
      <c r="W214" s="476"/>
    </row>
    <row r="215" spans="1:23" ht="11.25" customHeight="1" x14ac:dyDescent="0.2">
      <c r="A215" s="410" t="str">
        <f>'Org structure'!E41</f>
        <v xml:space="preserve">4.6 - </v>
      </c>
      <c r="B215" s="448"/>
      <c r="C215" s="397">
        <v>0</v>
      </c>
      <c r="D215" s="386">
        <v>0</v>
      </c>
      <c r="E215" s="387">
        <v>0</v>
      </c>
      <c r="F215" s="475">
        <v>0</v>
      </c>
      <c r="G215" s="387">
        <v>0</v>
      </c>
      <c r="H215" s="387">
        <f t="shared" si="40"/>
        <v>0</v>
      </c>
      <c r="I215" s="45">
        <f t="shared" si="37"/>
        <v>0</v>
      </c>
      <c r="J215" s="333" t="str">
        <f t="shared" si="38"/>
        <v/>
      </c>
      <c r="K215" s="398">
        <f t="shared" si="41"/>
        <v>0</v>
      </c>
      <c r="L215" s="49"/>
      <c r="M215" s="476"/>
      <c r="N215" s="476"/>
      <c r="O215" s="476"/>
      <c r="P215" s="476"/>
      <c r="Q215" s="476"/>
      <c r="R215" s="476"/>
      <c r="S215" s="476"/>
      <c r="T215" s="476"/>
      <c r="U215" s="476"/>
      <c r="V215" s="476"/>
      <c r="W215" s="476"/>
    </row>
    <row r="216" spans="1:23" ht="11.25" customHeight="1" x14ac:dyDescent="0.2">
      <c r="A216" s="410" t="str">
        <f>'Org structure'!E42</f>
        <v xml:space="preserve">4.7 - </v>
      </c>
      <c r="B216" s="448"/>
      <c r="C216" s="397">
        <v>0</v>
      </c>
      <c r="D216" s="386">
        <v>0</v>
      </c>
      <c r="E216" s="387">
        <v>0</v>
      </c>
      <c r="F216" s="475">
        <v>0</v>
      </c>
      <c r="G216" s="387">
        <v>0</v>
      </c>
      <c r="H216" s="387">
        <f t="shared" si="40"/>
        <v>0</v>
      </c>
      <c r="I216" s="45">
        <f t="shared" si="37"/>
        <v>0</v>
      </c>
      <c r="J216" s="333" t="str">
        <f t="shared" si="38"/>
        <v/>
      </c>
      <c r="K216" s="398">
        <f t="shared" si="41"/>
        <v>0</v>
      </c>
      <c r="L216" s="49"/>
      <c r="M216" s="476"/>
      <c r="N216" s="476"/>
      <c r="O216" s="476"/>
      <c r="P216" s="476"/>
      <c r="Q216" s="476"/>
      <c r="R216" s="476"/>
      <c r="S216" s="476"/>
      <c r="T216" s="476"/>
      <c r="U216" s="476"/>
      <c r="V216" s="476"/>
      <c r="W216" s="476"/>
    </row>
    <row r="217" spans="1:23" ht="11.25" customHeight="1" x14ac:dyDescent="0.2">
      <c r="A217" s="410" t="str">
        <f>'Org structure'!E43</f>
        <v xml:space="preserve">4.8 - </v>
      </c>
      <c r="B217" s="448"/>
      <c r="C217" s="397">
        <v>0</v>
      </c>
      <c r="D217" s="386">
        <v>0</v>
      </c>
      <c r="E217" s="387">
        <v>0</v>
      </c>
      <c r="F217" s="475">
        <v>0</v>
      </c>
      <c r="G217" s="387">
        <v>0</v>
      </c>
      <c r="H217" s="387">
        <f t="shared" si="40"/>
        <v>0</v>
      </c>
      <c r="I217" s="45">
        <f t="shared" si="37"/>
        <v>0</v>
      </c>
      <c r="J217" s="333" t="str">
        <f t="shared" si="38"/>
        <v/>
      </c>
      <c r="K217" s="398">
        <f t="shared" si="41"/>
        <v>0</v>
      </c>
      <c r="L217" s="49"/>
      <c r="M217" s="476"/>
      <c r="N217" s="476"/>
      <c r="O217" s="476"/>
      <c r="P217" s="476"/>
      <c r="Q217" s="476"/>
      <c r="R217" s="476"/>
      <c r="S217" s="476"/>
      <c r="T217" s="476"/>
      <c r="U217" s="476"/>
      <c r="V217" s="476"/>
      <c r="W217" s="476"/>
    </row>
    <row r="218" spans="1:23" ht="11.25" customHeight="1" x14ac:dyDescent="0.2">
      <c r="A218" s="410" t="str">
        <f>'Org structure'!E44</f>
        <v xml:space="preserve">4.9 - </v>
      </c>
      <c r="B218" s="448"/>
      <c r="C218" s="397">
        <v>0</v>
      </c>
      <c r="D218" s="386">
        <v>0</v>
      </c>
      <c r="E218" s="387">
        <v>0</v>
      </c>
      <c r="F218" s="475">
        <v>0</v>
      </c>
      <c r="G218" s="387">
        <v>0</v>
      </c>
      <c r="H218" s="387">
        <f t="shared" si="40"/>
        <v>0</v>
      </c>
      <c r="I218" s="45">
        <f t="shared" si="37"/>
        <v>0</v>
      </c>
      <c r="J218" s="333" t="str">
        <f t="shared" si="38"/>
        <v/>
      </c>
      <c r="K218" s="398">
        <f t="shared" si="41"/>
        <v>0</v>
      </c>
      <c r="L218" s="49"/>
      <c r="M218" s="476"/>
      <c r="N218" s="476"/>
      <c r="O218" s="476"/>
      <c r="P218" s="476"/>
      <c r="Q218" s="476"/>
      <c r="R218" s="476"/>
      <c r="S218" s="476"/>
      <c r="T218" s="476"/>
      <c r="U218" s="476"/>
      <c r="V218" s="476"/>
      <c r="W218" s="476"/>
    </row>
    <row r="219" spans="1:23" ht="11.25" customHeight="1" x14ac:dyDescent="0.2">
      <c r="A219" s="410" t="str">
        <f>'Org structure'!E45</f>
        <v xml:space="preserve">4.10 - </v>
      </c>
      <c r="B219" s="448"/>
      <c r="C219" s="397">
        <v>0</v>
      </c>
      <c r="D219" s="386">
        <v>0</v>
      </c>
      <c r="E219" s="387">
        <v>0</v>
      </c>
      <c r="F219" s="475">
        <v>0</v>
      </c>
      <c r="G219" s="387">
        <v>0</v>
      </c>
      <c r="H219" s="387">
        <f t="shared" si="40"/>
        <v>0</v>
      </c>
      <c r="I219" s="45">
        <f t="shared" si="37"/>
        <v>0</v>
      </c>
      <c r="J219" s="333" t="str">
        <f t="shared" si="38"/>
        <v/>
      </c>
      <c r="K219" s="398">
        <f t="shared" si="41"/>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42">SUM(C221:C230)</f>
        <v>36671076.902499996</v>
      </c>
      <c r="D220" s="447">
        <f t="shared" si="42"/>
        <v>91500792</v>
      </c>
      <c r="E220" s="444">
        <f t="shared" si="42"/>
        <v>85000796</v>
      </c>
      <c r="F220" s="446">
        <f t="shared" si="42"/>
        <v>6837298.1129999999</v>
      </c>
      <c r="G220" s="444">
        <f t="shared" si="42"/>
        <v>9458239.5954999998</v>
      </c>
      <c r="H220" s="446">
        <f t="shared" si="42"/>
        <v>35416998.333333336</v>
      </c>
      <c r="I220" s="45">
        <f t="shared" si="37"/>
        <v>-25958758.737833336</v>
      </c>
      <c r="J220" s="333">
        <f t="shared" si="38"/>
        <v>-0.73294632406501226</v>
      </c>
      <c r="K220" s="445">
        <f t="shared" si="42"/>
        <v>85000796</v>
      </c>
      <c r="L220" s="49"/>
      <c r="M220" s="476"/>
      <c r="N220" s="476"/>
      <c r="O220" s="476"/>
      <c r="P220" s="476"/>
      <c r="Q220" s="476"/>
      <c r="R220" s="476"/>
      <c r="S220" s="476"/>
      <c r="T220" s="476"/>
      <c r="U220" s="476"/>
      <c r="V220" s="476"/>
      <c r="W220" s="476"/>
    </row>
    <row r="221" spans="1:23" ht="11.25" customHeight="1" x14ac:dyDescent="0.2">
      <c r="A221" s="410" t="str">
        <f>'Org structure'!E47</f>
        <v>5.1 - Directorate Community Services</v>
      </c>
      <c r="B221" s="448"/>
      <c r="C221" s="397">
        <v>0</v>
      </c>
      <c r="D221" s="386">
        <v>0</v>
      </c>
      <c r="E221" s="387">
        <v>0</v>
      </c>
      <c r="F221" s="387">
        <v>0</v>
      </c>
      <c r="G221" s="387">
        <v>0</v>
      </c>
      <c r="H221" s="475">
        <f t="shared" ref="H221:H230" si="43">E221/12*5</f>
        <v>0</v>
      </c>
      <c r="I221" s="45">
        <f t="shared" si="37"/>
        <v>0</v>
      </c>
      <c r="J221" s="333" t="str">
        <f t="shared" si="38"/>
        <v/>
      </c>
      <c r="K221" s="398">
        <f t="shared" ref="K221:K230" si="44">D221</f>
        <v>0</v>
      </c>
      <c r="L221" s="49"/>
      <c r="M221" s="476"/>
      <c r="N221" s="476"/>
      <c r="O221" s="476"/>
      <c r="P221" s="476"/>
      <c r="Q221" s="476"/>
      <c r="R221" s="476"/>
      <c r="S221" s="476"/>
      <c r="T221" s="476"/>
      <c r="U221" s="476"/>
      <c r="V221" s="476"/>
      <c r="W221" s="476"/>
    </row>
    <row r="222" spans="1:23" ht="11.25" customHeight="1" x14ac:dyDescent="0.2">
      <c r="A222" s="410" t="str">
        <f>'Org structure'!E48</f>
        <v>5.2 - Sport and Recreation</v>
      </c>
      <c r="B222" s="448"/>
      <c r="C222" s="397">
        <v>12692692.829999998</v>
      </c>
      <c r="D222" s="386">
        <v>61184496</v>
      </c>
      <c r="E222" s="387">
        <v>61184496</v>
      </c>
      <c r="F222" s="387">
        <v>3718835.5</v>
      </c>
      <c r="G222" s="387">
        <f>760166.7325+F222</f>
        <v>4479002.2324999999</v>
      </c>
      <c r="H222" s="387">
        <f t="shared" si="43"/>
        <v>25493540</v>
      </c>
      <c r="I222" s="45">
        <f t="shared" si="37"/>
        <v>-21014537.767499998</v>
      </c>
      <c r="J222" s="333">
        <f t="shared" si="38"/>
        <v>-0.82430834507486983</v>
      </c>
      <c r="K222" s="398">
        <f t="shared" si="44"/>
        <v>61184496</v>
      </c>
      <c r="L222" s="49"/>
      <c r="M222" s="476"/>
      <c r="N222" s="476"/>
      <c r="O222" s="476"/>
      <c r="P222" s="476"/>
      <c r="Q222" s="476"/>
      <c r="R222" s="476"/>
      <c r="S222" s="476"/>
      <c r="T222" s="476"/>
      <c r="U222" s="476"/>
      <c r="V222" s="476"/>
      <c r="W222" s="476"/>
    </row>
    <row r="223" spans="1:23" ht="11.25" customHeight="1" x14ac:dyDescent="0.2">
      <c r="A223" s="410" t="str">
        <f>'Org structure'!E49</f>
        <v>5.3 - Sport and Facilities Maintenance</v>
      </c>
      <c r="B223" s="448"/>
      <c r="C223" s="397">
        <v>0</v>
      </c>
      <c r="D223" s="386">
        <v>0</v>
      </c>
      <c r="E223" s="387">
        <v>0</v>
      </c>
      <c r="F223" s="387">
        <v>0</v>
      </c>
      <c r="G223" s="387">
        <v>0</v>
      </c>
      <c r="H223" s="387">
        <f t="shared" si="43"/>
        <v>0</v>
      </c>
      <c r="I223" s="45">
        <f t="shared" si="37"/>
        <v>0</v>
      </c>
      <c r="J223" s="333" t="str">
        <f t="shared" si="38"/>
        <v/>
      </c>
      <c r="K223" s="398">
        <f t="shared" si="44"/>
        <v>0</v>
      </c>
      <c r="L223" s="49"/>
      <c r="M223" s="476"/>
      <c r="N223" s="476"/>
      <c r="O223" s="476"/>
      <c r="P223" s="476"/>
      <c r="Q223" s="476"/>
      <c r="R223" s="476"/>
      <c r="S223" s="476"/>
      <c r="T223" s="476"/>
      <c r="U223" s="476"/>
      <c r="V223" s="476"/>
      <c r="W223" s="476"/>
    </row>
    <row r="224" spans="1:23" ht="11.25" customHeight="1" x14ac:dyDescent="0.2">
      <c r="A224" s="410" t="str">
        <f>'Org structure'!E50</f>
        <v>5.4 - Swimming Pools</v>
      </c>
      <c r="B224" s="448"/>
      <c r="C224" s="964">
        <v>0</v>
      </c>
      <c r="D224" s="386">
        <v>0</v>
      </c>
      <c r="E224" s="387">
        <v>0</v>
      </c>
      <c r="F224" s="387">
        <v>0</v>
      </c>
      <c r="G224" s="387">
        <v>0</v>
      </c>
      <c r="H224" s="387">
        <f t="shared" si="43"/>
        <v>0</v>
      </c>
      <c r="I224" s="45">
        <f t="shared" si="37"/>
        <v>0</v>
      </c>
      <c r="J224" s="333" t="str">
        <f t="shared" si="38"/>
        <v/>
      </c>
      <c r="K224" s="398">
        <f t="shared" si="44"/>
        <v>0</v>
      </c>
      <c r="L224" s="49"/>
      <c r="M224" s="476"/>
      <c r="N224" s="476"/>
      <c r="O224" s="476"/>
      <c r="P224" s="476"/>
      <c r="Q224" s="476"/>
      <c r="R224" s="476"/>
      <c r="S224" s="476"/>
      <c r="T224" s="476"/>
      <c r="U224" s="476"/>
      <c r="V224" s="476"/>
      <c r="W224" s="476"/>
    </row>
    <row r="225" spans="1:23" ht="11.25" customHeight="1" x14ac:dyDescent="0.2">
      <c r="A225" s="410" t="str">
        <f>'Org structure'!E51</f>
        <v>5.5 - Museums and Art Galleries</v>
      </c>
      <c r="B225" s="448"/>
      <c r="C225" s="397">
        <v>0</v>
      </c>
      <c r="D225" s="386">
        <v>2642400</v>
      </c>
      <c r="E225" s="387">
        <v>2642400</v>
      </c>
      <c r="F225" s="387">
        <v>0</v>
      </c>
      <c r="G225" s="387">
        <v>0</v>
      </c>
      <c r="H225" s="387">
        <f t="shared" si="43"/>
        <v>1101000</v>
      </c>
      <c r="I225" s="45">
        <f t="shared" si="37"/>
        <v>-1101000</v>
      </c>
      <c r="J225" s="333">
        <f t="shared" si="38"/>
        <v>-1</v>
      </c>
      <c r="K225" s="398">
        <f t="shared" si="44"/>
        <v>2642400</v>
      </c>
      <c r="L225" s="49"/>
      <c r="M225" s="476"/>
      <c r="N225" s="476"/>
      <c r="O225" s="476"/>
      <c r="P225" s="476"/>
      <c r="Q225" s="476"/>
      <c r="R225" s="476"/>
      <c r="S225" s="476"/>
      <c r="T225" s="476"/>
      <c r="U225" s="476"/>
      <c r="V225" s="476"/>
      <c r="W225" s="476"/>
    </row>
    <row r="226" spans="1:23" ht="11.25" customHeight="1" x14ac:dyDescent="0.2">
      <c r="A226" s="410" t="str">
        <f>'Org structure'!E52</f>
        <v>5.6 - Libraries and Archives</v>
      </c>
      <c r="B226" s="448"/>
      <c r="C226" s="397">
        <v>0</v>
      </c>
      <c r="D226" s="386">
        <v>0</v>
      </c>
      <c r="E226" s="387">
        <v>0</v>
      </c>
      <c r="F226" s="387">
        <v>0</v>
      </c>
      <c r="G226" s="387">
        <v>0</v>
      </c>
      <c r="H226" s="387">
        <f t="shared" si="43"/>
        <v>0</v>
      </c>
      <c r="I226" s="45">
        <f t="shared" si="37"/>
        <v>0</v>
      </c>
      <c r="J226" s="333" t="str">
        <f t="shared" si="38"/>
        <v/>
      </c>
      <c r="K226" s="398">
        <f t="shared" si="44"/>
        <v>0</v>
      </c>
      <c r="L226" s="49"/>
      <c r="M226" s="476"/>
      <c r="N226" s="476"/>
      <c r="O226" s="476"/>
      <c r="P226" s="476"/>
      <c r="Q226" s="476"/>
      <c r="R226" s="476"/>
      <c r="S226" s="476"/>
      <c r="T226" s="476"/>
      <c r="U226" s="476"/>
      <c r="V226" s="476"/>
      <c r="W226" s="476"/>
    </row>
    <row r="227" spans="1:23" ht="11.25" customHeight="1" x14ac:dyDescent="0.2">
      <c r="A227" s="410" t="str">
        <f>'Org structure'!E53</f>
        <v>5.7 - Culture Services</v>
      </c>
      <c r="B227" s="448"/>
      <c r="C227" s="397">
        <v>0</v>
      </c>
      <c r="D227" s="386">
        <v>0</v>
      </c>
      <c r="E227" s="387">
        <v>0</v>
      </c>
      <c r="F227" s="387">
        <v>0</v>
      </c>
      <c r="G227" s="387">
        <v>0</v>
      </c>
      <c r="H227" s="387">
        <f t="shared" si="43"/>
        <v>0</v>
      </c>
      <c r="I227" s="45">
        <f t="shared" si="37"/>
        <v>0</v>
      </c>
      <c r="J227" s="333" t="str">
        <f t="shared" si="38"/>
        <v/>
      </c>
      <c r="K227" s="398">
        <f t="shared" si="44"/>
        <v>0</v>
      </c>
      <c r="L227" s="49"/>
      <c r="M227" s="476"/>
      <c r="N227" s="476"/>
      <c r="O227" s="476"/>
      <c r="P227" s="476"/>
      <c r="Q227" s="476"/>
      <c r="R227" s="476"/>
      <c r="S227" s="476"/>
      <c r="T227" s="476"/>
      <c r="U227" s="476"/>
      <c r="V227" s="476"/>
      <c r="W227" s="476"/>
    </row>
    <row r="228" spans="1:23" ht="11.25" customHeight="1" x14ac:dyDescent="0.2">
      <c r="A228" s="410" t="str">
        <f>'Org structure'!E54</f>
        <v>5.8 - Cemetaries</v>
      </c>
      <c r="B228" s="448"/>
      <c r="C228" s="397">
        <v>0</v>
      </c>
      <c r="D228" s="386">
        <v>0</v>
      </c>
      <c r="E228" s="387">
        <v>0</v>
      </c>
      <c r="F228" s="387">
        <v>0</v>
      </c>
      <c r="G228" s="387">
        <v>0</v>
      </c>
      <c r="H228" s="387">
        <f t="shared" si="43"/>
        <v>0</v>
      </c>
      <c r="I228" s="45">
        <f t="shared" si="37"/>
        <v>0</v>
      </c>
      <c r="J228" s="333" t="str">
        <f t="shared" si="38"/>
        <v/>
      </c>
      <c r="K228" s="398">
        <f t="shared" si="44"/>
        <v>0</v>
      </c>
      <c r="L228" s="49"/>
      <c r="M228" s="476"/>
      <c r="N228" s="476"/>
      <c r="O228" s="476"/>
      <c r="P228" s="476"/>
      <c r="Q228" s="476"/>
      <c r="R228" s="476"/>
      <c r="S228" s="476"/>
      <c r="T228" s="476"/>
      <c r="U228" s="476"/>
      <c r="V228" s="476"/>
      <c r="W228" s="476"/>
    </row>
    <row r="229" spans="1:23" ht="11.25" customHeight="1" x14ac:dyDescent="0.2">
      <c r="A229" s="410" t="str">
        <f>'Org structure'!E55</f>
        <v>5.9 - Waste Management</v>
      </c>
      <c r="B229" s="448"/>
      <c r="C229" s="963">
        <v>19378400</v>
      </c>
      <c r="D229" s="386">
        <v>19378404</v>
      </c>
      <c r="E229" s="387">
        <v>12878408</v>
      </c>
      <c r="F229" s="387">
        <v>170733.23199999999</v>
      </c>
      <c r="G229" s="387">
        <f>1860774.75+F229</f>
        <v>2031507.9820000001</v>
      </c>
      <c r="H229" s="387">
        <f t="shared" si="43"/>
        <v>5366003.333333334</v>
      </c>
      <c r="I229" s="45">
        <f t="shared" si="37"/>
        <v>-3334495.3513333341</v>
      </c>
      <c r="J229" s="333">
        <f t="shared" si="38"/>
        <v>-0.62141134550171118</v>
      </c>
      <c r="K229" s="398">
        <f>E229</f>
        <v>12878408</v>
      </c>
      <c r="L229" s="49"/>
      <c r="M229" s="476"/>
      <c r="N229" s="476"/>
      <c r="O229" s="476"/>
      <c r="P229" s="476"/>
      <c r="Q229" s="476"/>
      <c r="R229" s="476"/>
      <c r="S229" s="476"/>
      <c r="T229" s="476"/>
      <c r="U229" s="476"/>
      <c r="V229" s="476"/>
      <c r="W229" s="476"/>
    </row>
    <row r="230" spans="1:23" ht="11.25" customHeight="1" x14ac:dyDescent="0.2">
      <c r="A230" s="410" t="str">
        <f>'Org structure'!E56</f>
        <v>5.10 - Other Community Services</v>
      </c>
      <c r="B230" s="448"/>
      <c r="C230" s="397">
        <v>4599984.0724999998</v>
      </c>
      <c r="D230" s="386">
        <v>8295492</v>
      </c>
      <c r="E230" s="387">
        <v>8295492</v>
      </c>
      <c r="F230" s="387">
        <v>2947729.3810000001</v>
      </c>
      <c r="G230" s="387">
        <v>2947729.3810000001</v>
      </c>
      <c r="H230" s="387">
        <f t="shared" si="43"/>
        <v>3456455</v>
      </c>
      <c r="I230" s="45">
        <f t="shared" si="37"/>
        <v>-508725.61899999995</v>
      </c>
      <c r="J230" s="333">
        <f t="shared" si="38"/>
        <v>-0.14718132277145224</v>
      </c>
      <c r="K230" s="398">
        <f t="shared" si="44"/>
        <v>8295492</v>
      </c>
      <c r="L230" s="49"/>
      <c r="M230" s="476"/>
      <c r="N230" s="476"/>
      <c r="O230" s="476"/>
      <c r="P230" s="476"/>
      <c r="Q230" s="476"/>
      <c r="R230" s="476"/>
      <c r="S230" s="476"/>
      <c r="T230" s="476"/>
      <c r="U230" s="476"/>
      <c r="V230" s="476"/>
      <c r="W230" s="476"/>
    </row>
    <row r="231" spans="1:23" ht="11.25" customHeight="1" x14ac:dyDescent="0.2">
      <c r="A231" s="469" t="str">
        <f>'Org structure'!A7</f>
        <v>Vote 6 - Public Safety</v>
      </c>
      <c r="B231" s="443"/>
      <c r="C231" s="506">
        <f t="shared" ref="C231:K231" si="45">SUM(C232:C241)</f>
        <v>7522609.7239999995</v>
      </c>
      <c r="D231" s="447">
        <f t="shared" si="45"/>
        <v>8639076</v>
      </c>
      <c r="E231" s="444">
        <f t="shared" si="45"/>
        <v>8639076</v>
      </c>
      <c r="F231" s="446">
        <f t="shared" si="45"/>
        <v>0</v>
      </c>
      <c r="G231" s="444">
        <f t="shared" si="45"/>
        <v>180737.16250000001</v>
      </c>
      <c r="H231" s="446">
        <f t="shared" si="45"/>
        <v>3599615</v>
      </c>
      <c r="I231" s="45">
        <f t="shared" si="37"/>
        <v>-3418877.8374999999</v>
      </c>
      <c r="J231" s="333">
        <f t="shared" si="38"/>
        <v>-0.94978986294367584</v>
      </c>
      <c r="K231" s="445">
        <f t="shared" si="45"/>
        <v>8639076</v>
      </c>
      <c r="L231" s="49"/>
      <c r="M231" s="476"/>
      <c r="N231" s="476"/>
      <c r="O231" s="476"/>
      <c r="P231" s="476"/>
      <c r="Q231" s="476"/>
      <c r="R231" s="476"/>
      <c r="S231" s="476"/>
      <c r="T231" s="476"/>
      <c r="U231" s="476"/>
      <c r="V231" s="476"/>
      <c r="W231" s="476"/>
    </row>
    <row r="232" spans="1:23" ht="11.25" customHeight="1" x14ac:dyDescent="0.2">
      <c r="A232" s="410" t="str">
        <f>'Org structure'!E58</f>
        <v>6.1 - Security Services</v>
      </c>
      <c r="B232" s="448"/>
      <c r="C232" s="397">
        <v>7522609.7239999995</v>
      </c>
      <c r="D232" s="386">
        <v>3461592</v>
      </c>
      <c r="E232" s="387">
        <v>3461592</v>
      </c>
      <c r="F232" s="387"/>
      <c r="G232" s="387">
        <v>149017</v>
      </c>
      <c r="H232" s="475">
        <f t="shared" ref="H232:H241" si="46">E232/12*5</f>
        <v>1442330</v>
      </c>
      <c r="I232" s="45">
        <f t="shared" si="37"/>
        <v>-1293313</v>
      </c>
      <c r="J232" s="333">
        <f t="shared" si="38"/>
        <v>-0.89668314463402965</v>
      </c>
      <c r="K232" s="398">
        <f t="shared" ref="K232:K241" si="47">D232</f>
        <v>3461592</v>
      </c>
      <c r="L232" s="49"/>
      <c r="M232" s="476"/>
      <c r="N232" s="476"/>
      <c r="O232" s="476"/>
      <c r="P232" s="476"/>
      <c r="Q232" s="476"/>
      <c r="R232" s="476"/>
      <c r="S232" s="476"/>
      <c r="T232" s="476"/>
      <c r="U232" s="476"/>
      <c r="V232" s="476"/>
      <c r="W232" s="476"/>
    </row>
    <row r="233" spans="1:23" ht="11.25" customHeight="1" x14ac:dyDescent="0.2">
      <c r="A233" s="410" t="str">
        <f>'Org structure'!E59</f>
        <v>6.2 - Fire and Emergency Services</v>
      </c>
      <c r="B233" s="448"/>
      <c r="C233" s="397">
        <v>0</v>
      </c>
      <c r="D233" s="386">
        <v>0</v>
      </c>
      <c r="E233" s="387">
        <v>0</v>
      </c>
      <c r="F233" s="387">
        <v>0</v>
      </c>
      <c r="G233" s="387">
        <v>0</v>
      </c>
      <c r="H233" s="475">
        <f t="shared" si="46"/>
        <v>0</v>
      </c>
      <c r="I233" s="45">
        <f t="shared" si="37"/>
        <v>0</v>
      </c>
      <c r="J233" s="333" t="str">
        <f t="shared" si="38"/>
        <v/>
      </c>
      <c r="K233" s="398">
        <f t="shared" si="47"/>
        <v>0</v>
      </c>
      <c r="L233" s="49"/>
      <c r="M233" s="476"/>
      <c r="N233" s="476"/>
      <c r="O233" s="476"/>
      <c r="P233" s="476"/>
      <c r="Q233" s="476"/>
      <c r="R233" s="476"/>
      <c r="S233" s="476"/>
      <c r="T233" s="476"/>
      <c r="U233" s="476"/>
      <c r="V233" s="476"/>
      <c r="W233" s="476"/>
    </row>
    <row r="234" spans="1:23" ht="11.25" customHeight="1" x14ac:dyDescent="0.2">
      <c r="A234" s="410" t="str">
        <f>'Org structure'!E60</f>
        <v>6.3 - Public Safety Administrative</v>
      </c>
      <c r="B234" s="448"/>
      <c r="C234" s="397">
        <v>0</v>
      </c>
      <c r="D234" s="386">
        <v>0</v>
      </c>
      <c r="E234" s="387">
        <v>0</v>
      </c>
      <c r="F234" s="387">
        <v>0</v>
      </c>
      <c r="G234" s="387">
        <v>0</v>
      </c>
      <c r="H234" s="475">
        <f t="shared" si="46"/>
        <v>0</v>
      </c>
      <c r="I234" s="45">
        <f t="shared" si="37"/>
        <v>0</v>
      </c>
      <c r="J234" s="333" t="str">
        <f t="shared" si="38"/>
        <v/>
      </c>
      <c r="K234" s="398">
        <f t="shared" si="47"/>
        <v>0</v>
      </c>
      <c r="L234" s="49"/>
      <c r="M234" s="476"/>
      <c r="N234" s="476"/>
      <c r="O234" s="476"/>
      <c r="P234" s="476"/>
      <c r="Q234" s="476"/>
      <c r="R234" s="476"/>
      <c r="S234" s="476"/>
      <c r="T234" s="476"/>
      <c r="U234" s="476"/>
      <c r="V234" s="476"/>
      <c r="W234" s="476"/>
    </row>
    <row r="235" spans="1:23" ht="11.25" customHeight="1" x14ac:dyDescent="0.2">
      <c r="A235" s="410" t="str">
        <f>'Org structure'!E61</f>
        <v>6.4 - Licensing</v>
      </c>
      <c r="B235" s="448"/>
      <c r="C235" s="397">
        <v>0</v>
      </c>
      <c r="D235" s="386">
        <v>0</v>
      </c>
      <c r="E235" s="387">
        <v>0</v>
      </c>
      <c r="F235" s="387">
        <v>0</v>
      </c>
      <c r="G235" s="387">
        <v>0</v>
      </c>
      <c r="H235" s="475">
        <f t="shared" si="46"/>
        <v>0</v>
      </c>
      <c r="I235" s="45">
        <f t="shared" si="37"/>
        <v>0</v>
      </c>
      <c r="J235" s="333" t="str">
        <f t="shared" si="38"/>
        <v/>
      </c>
      <c r="K235" s="398">
        <f t="shared" si="47"/>
        <v>0</v>
      </c>
      <c r="L235" s="49"/>
      <c r="M235" s="476"/>
      <c r="N235" s="476"/>
      <c r="O235" s="476"/>
      <c r="P235" s="476"/>
      <c r="Q235" s="476"/>
      <c r="R235" s="476"/>
      <c r="S235" s="476"/>
      <c r="T235" s="476"/>
      <c r="U235" s="476"/>
      <c r="V235" s="476"/>
      <c r="W235" s="476"/>
    </row>
    <row r="236" spans="1:23" ht="11.25" customHeight="1" x14ac:dyDescent="0.2">
      <c r="A236" s="410" t="str">
        <f>'Org structure'!E62</f>
        <v>6.5 - Vehicle Licensing and Testing</v>
      </c>
      <c r="B236" s="448"/>
      <c r="C236" s="397">
        <v>0</v>
      </c>
      <c r="D236" s="386">
        <v>0</v>
      </c>
      <c r="E236" s="387">
        <v>0</v>
      </c>
      <c r="F236" s="387">
        <v>0</v>
      </c>
      <c r="G236" s="387">
        <v>0</v>
      </c>
      <c r="H236" s="475">
        <f t="shared" si="46"/>
        <v>0</v>
      </c>
      <c r="I236" s="45">
        <f t="shared" si="37"/>
        <v>0</v>
      </c>
      <c r="J236" s="333" t="str">
        <f t="shared" si="38"/>
        <v/>
      </c>
      <c r="K236" s="398">
        <f t="shared" si="47"/>
        <v>0</v>
      </c>
      <c r="L236" s="49"/>
      <c r="M236" s="476"/>
      <c r="N236" s="476"/>
      <c r="O236" s="476"/>
      <c r="P236" s="476"/>
      <c r="Q236" s="476"/>
      <c r="R236" s="476"/>
      <c r="S236" s="476"/>
      <c r="T236" s="476"/>
      <c r="U236" s="476"/>
      <c r="V236" s="476"/>
      <c r="W236" s="476"/>
    </row>
    <row r="237" spans="1:23" ht="11.25" customHeight="1" x14ac:dyDescent="0.2">
      <c r="A237" s="410" t="str">
        <f>'Org structure'!E63</f>
        <v>6.6 - Traffic</v>
      </c>
      <c r="B237" s="448"/>
      <c r="C237" s="962">
        <v>0</v>
      </c>
      <c r="D237" s="386">
        <v>2450748</v>
      </c>
      <c r="E237" s="387">
        <v>2450748</v>
      </c>
      <c r="F237" s="387">
        <v>0</v>
      </c>
      <c r="G237" s="387">
        <v>0</v>
      </c>
      <c r="H237" s="475">
        <f t="shared" si="46"/>
        <v>1021145</v>
      </c>
      <c r="I237" s="45">
        <f t="shared" si="37"/>
        <v>-1021145</v>
      </c>
      <c r="J237" s="333">
        <f t="shared" si="38"/>
        <v>-1</v>
      </c>
      <c r="K237" s="398">
        <f t="shared" si="47"/>
        <v>2450748</v>
      </c>
      <c r="L237" s="49"/>
      <c r="M237" s="476"/>
      <c r="N237" s="476"/>
      <c r="O237" s="476"/>
      <c r="P237" s="476"/>
      <c r="Q237" s="476"/>
      <c r="R237" s="476"/>
      <c r="S237" s="476"/>
      <c r="T237" s="476"/>
      <c r="U237" s="476"/>
      <c r="V237" s="476"/>
      <c r="W237" s="476"/>
    </row>
    <row r="238" spans="1:23" ht="10.5" customHeight="1" x14ac:dyDescent="0.2">
      <c r="A238" s="410" t="str">
        <f>'Org structure'!E64</f>
        <v>6.7 - By-Law Enforcement and Security (administration)</v>
      </c>
      <c r="B238" s="448"/>
      <c r="C238" s="397">
        <v>0</v>
      </c>
      <c r="D238" s="386">
        <v>0</v>
      </c>
      <c r="E238" s="387">
        <v>0</v>
      </c>
      <c r="F238" s="387">
        <v>0</v>
      </c>
      <c r="G238" s="387">
        <v>0</v>
      </c>
      <c r="H238" s="475">
        <f t="shared" si="46"/>
        <v>0</v>
      </c>
      <c r="I238" s="45">
        <f t="shared" si="37"/>
        <v>0</v>
      </c>
      <c r="J238" s="333" t="str">
        <f t="shared" si="38"/>
        <v/>
      </c>
      <c r="K238" s="398">
        <f t="shared" si="47"/>
        <v>0</v>
      </c>
      <c r="L238" s="49"/>
      <c r="M238" s="476"/>
      <c r="N238" s="476"/>
      <c r="O238" s="476"/>
      <c r="P238" s="476"/>
      <c r="Q238" s="476"/>
      <c r="R238" s="476"/>
      <c r="S238" s="476"/>
      <c r="T238" s="476"/>
      <c r="U238" s="476"/>
      <c r="V238" s="476"/>
      <c r="W238" s="476"/>
    </row>
    <row r="239" spans="1:23" ht="11.25" customHeight="1" x14ac:dyDescent="0.2">
      <c r="A239" s="410" t="str">
        <f>'Org structure'!E65</f>
        <v>6.8 - Disaster Management</v>
      </c>
      <c r="B239" s="448"/>
      <c r="C239" s="397">
        <v>0</v>
      </c>
      <c r="D239" s="386">
        <v>2726736</v>
      </c>
      <c r="E239" s="387">
        <v>2726736</v>
      </c>
      <c r="F239" s="387"/>
      <c r="G239" s="387">
        <v>31720.162499999999</v>
      </c>
      <c r="H239" s="475">
        <f t="shared" si="46"/>
        <v>1136140</v>
      </c>
      <c r="I239" s="45">
        <f t="shared" si="37"/>
        <v>-1104419.8374999999</v>
      </c>
      <c r="J239" s="333">
        <f t="shared" si="38"/>
        <v>-0.97208076249405873</v>
      </c>
      <c r="K239" s="398">
        <f t="shared" si="47"/>
        <v>2726736</v>
      </c>
      <c r="L239" s="49"/>
      <c r="M239" s="476"/>
      <c r="N239" s="476"/>
      <c r="O239" s="476"/>
      <c r="P239" s="476"/>
      <c r="Q239" s="476"/>
      <c r="R239" s="476"/>
      <c r="S239" s="476"/>
      <c r="T239" s="476"/>
      <c r="U239" s="476"/>
      <c r="V239" s="476"/>
      <c r="W239" s="476"/>
    </row>
    <row r="240" spans="1:23" ht="11.25" customHeight="1" x14ac:dyDescent="0.2">
      <c r="A240" s="410" t="str">
        <f>'Org structure'!E66</f>
        <v>6.9 - Health Services</v>
      </c>
      <c r="B240" s="448"/>
      <c r="C240" s="397">
        <v>0</v>
      </c>
      <c r="D240" s="386">
        <v>0</v>
      </c>
      <c r="E240" s="387">
        <v>0</v>
      </c>
      <c r="F240" s="387">
        <v>0</v>
      </c>
      <c r="G240" s="387">
        <v>0</v>
      </c>
      <c r="H240" s="475">
        <f t="shared" si="46"/>
        <v>0</v>
      </c>
      <c r="I240" s="45">
        <f t="shared" si="37"/>
        <v>0</v>
      </c>
      <c r="J240" s="333" t="str">
        <f t="shared" si="38"/>
        <v/>
      </c>
      <c r="K240" s="398">
        <f t="shared" si="47"/>
        <v>0</v>
      </c>
      <c r="L240" s="49"/>
      <c r="M240" s="476"/>
      <c r="N240" s="476"/>
      <c r="O240" s="476"/>
      <c r="P240" s="476"/>
      <c r="Q240" s="476"/>
      <c r="R240" s="476"/>
      <c r="S240" s="476"/>
      <c r="T240" s="476"/>
      <c r="U240" s="476"/>
      <c r="V240" s="476"/>
      <c r="W240" s="476"/>
    </row>
    <row r="241" spans="1:23" ht="11.25" customHeight="1" x14ac:dyDescent="0.2">
      <c r="A241" s="410" t="str">
        <f>'Org structure'!E67</f>
        <v xml:space="preserve">6.10 - </v>
      </c>
      <c r="B241" s="448"/>
      <c r="C241" s="397">
        <v>0</v>
      </c>
      <c r="D241" s="386">
        <v>0</v>
      </c>
      <c r="E241" s="387">
        <v>0</v>
      </c>
      <c r="F241" s="387">
        <v>0</v>
      </c>
      <c r="G241" s="387">
        <v>0</v>
      </c>
      <c r="H241" s="475">
        <f t="shared" si="46"/>
        <v>0</v>
      </c>
      <c r="I241" s="45">
        <f t="shared" si="37"/>
        <v>0</v>
      </c>
      <c r="J241" s="333" t="str">
        <f t="shared" si="38"/>
        <v/>
      </c>
      <c r="K241" s="398">
        <f t="shared" si="47"/>
        <v>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48">SUM(C243:C252)</f>
        <v>56161480.259999841</v>
      </c>
      <c r="D242" s="447">
        <f t="shared" si="48"/>
        <v>64268004</v>
      </c>
      <c r="E242" s="444">
        <f t="shared" si="48"/>
        <v>55000008</v>
      </c>
      <c r="F242" s="446">
        <f t="shared" si="48"/>
        <v>10228265.2205</v>
      </c>
      <c r="G242" s="444">
        <f t="shared" si="48"/>
        <v>10228265.2205</v>
      </c>
      <c r="H242" s="446">
        <f t="shared" si="48"/>
        <v>22916670</v>
      </c>
      <c r="I242" s="45">
        <f t="shared" si="37"/>
        <v>-12688404.7795</v>
      </c>
      <c r="J242" s="333">
        <f t="shared" si="38"/>
        <v>-0.5536757643889797</v>
      </c>
      <c r="K242" s="445">
        <f t="shared" si="48"/>
        <v>55000008</v>
      </c>
      <c r="L242" s="49"/>
      <c r="M242" s="476"/>
      <c r="N242" s="476"/>
      <c r="O242" s="476"/>
      <c r="P242" s="476"/>
      <c r="Q242" s="476"/>
      <c r="R242" s="476"/>
      <c r="S242" s="476"/>
      <c r="T242" s="476"/>
      <c r="U242" s="476"/>
      <c r="V242" s="476"/>
      <c r="W242" s="476"/>
    </row>
    <row r="243" spans="1:23" ht="11.25" customHeight="1" x14ac:dyDescent="0.2">
      <c r="A243" s="410" t="str">
        <f>'Org structure'!E69</f>
        <v>7.1 - Corporate and Shared Services</v>
      </c>
      <c r="B243" s="448"/>
      <c r="C243" s="397">
        <v>0</v>
      </c>
      <c r="D243" s="386">
        <v>0</v>
      </c>
      <c r="E243" s="387">
        <v>0</v>
      </c>
      <c r="F243" s="387">
        <v>0</v>
      </c>
      <c r="G243" s="387">
        <v>0</v>
      </c>
      <c r="H243" s="387">
        <f t="shared" ref="H243:H252" si="49">E243/12*5</f>
        <v>0</v>
      </c>
      <c r="I243" s="45">
        <f t="shared" si="37"/>
        <v>0</v>
      </c>
      <c r="J243" s="333" t="str">
        <f t="shared" si="38"/>
        <v/>
      </c>
      <c r="K243" s="398">
        <f t="shared" ref="K243:K251" si="50">D243</f>
        <v>0</v>
      </c>
      <c r="L243" s="49"/>
      <c r="M243" s="476"/>
      <c r="N243" s="476"/>
      <c r="O243" s="476"/>
      <c r="P243" s="476"/>
      <c r="Q243" s="476"/>
      <c r="R243" s="476"/>
      <c r="S243" s="476"/>
      <c r="T243" s="476"/>
      <c r="U243" s="476"/>
      <c r="V243" s="476"/>
      <c r="W243" s="476"/>
    </row>
    <row r="244" spans="1:23" ht="11.25" customHeight="1" x14ac:dyDescent="0.2">
      <c r="A244" s="410" t="str">
        <f>'Org structure'!E70</f>
        <v>7.2 - Information Services</v>
      </c>
      <c r="B244" s="448"/>
      <c r="C244" s="397">
        <v>44567922.652500004</v>
      </c>
      <c r="D244" s="386">
        <v>14268000</v>
      </c>
      <c r="E244" s="387">
        <v>14000004</v>
      </c>
      <c r="F244" s="387">
        <v>10228265.2205</v>
      </c>
      <c r="G244" s="387">
        <v>10228265.2205</v>
      </c>
      <c r="H244" s="387">
        <f t="shared" si="49"/>
        <v>5833335</v>
      </c>
      <c r="I244" s="45">
        <f t="shared" si="37"/>
        <v>4394930.2204999998</v>
      </c>
      <c r="J244" s="333">
        <f t="shared" si="38"/>
        <v>0.75341639396674454</v>
      </c>
      <c r="K244" s="398">
        <v>14000004</v>
      </c>
      <c r="L244" s="49"/>
      <c r="M244" s="476"/>
      <c r="N244" s="476"/>
      <c r="O244" s="476"/>
      <c r="P244" s="476"/>
      <c r="Q244" s="476"/>
      <c r="R244" s="476"/>
      <c r="S244" s="476"/>
      <c r="T244" s="476"/>
      <c r="U244" s="476"/>
      <c r="V244" s="476"/>
      <c r="W244" s="476"/>
    </row>
    <row r="245" spans="1:23" ht="11.25" customHeight="1" x14ac:dyDescent="0.2">
      <c r="A245" s="410" t="str">
        <f>'Org structure'!E71</f>
        <v>7.3 - Occupational Health and Safety</v>
      </c>
      <c r="B245" s="448"/>
      <c r="C245" s="397">
        <v>0</v>
      </c>
      <c r="D245" s="386">
        <v>0</v>
      </c>
      <c r="E245" s="387">
        <v>0</v>
      </c>
      <c r="F245" s="387">
        <v>0</v>
      </c>
      <c r="G245" s="387">
        <v>0</v>
      </c>
      <c r="H245" s="387">
        <f t="shared" si="49"/>
        <v>0</v>
      </c>
      <c r="I245" s="45">
        <f t="shared" si="37"/>
        <v>0</v>
      </c>
      <c r="J245" s="333" t="str">
        <f t="shared" si="38"/>
        <v/>
      </c>
      <c r="K245" s="398">
        <f t="shared" si="50"/>
        <v>0</v>
      </c>
      <c r="L245" s="49"/>
      <c r="M245" s="476"/>
      <c r="N245" s="476"/>
      <c r="O245" s="476"/>
      <c r="P245" s="476"/>
      <c r="Q245" s="476"/>
      <c r="R245" s="476"/>
      <c r="S245" s="476"/>
      <c r="T245" s="476"/>
      <c r="U245" s="476"/>
      <c r="V245" s="476"/>
      <c r="W245" s="476"/>
    </row>
    <row r="246" spans="1:23" ht="11.25" customHeight="1" x14ac:dyDescent="0.2">
      <c r="A246" s="410" t="str">
        <f>'Org structure'!E72</f>
        <v>7.4 - Fleet Management</v>
      </c>
      <c r="B246" s="448"/>
      <c r="C246" s="397">
        <v>11593557.607499838</v>
      </c>
      <c r="D246" s="386">
        <v>50000004</v>
      </c>
      <c r="E246" s="387">
        <v>50000004</v>
      </c>
      <c r="F246" s="387"/>
      <c r="G246" s="387">
        <v>0</v>
      </c>
      <c r="H246" s="387">
        <f t="shared" si="49"/>
        <v>20833335</v>
      </c>
      <c r="I246" s="45">
        <f t="shared" si="37"/>
        <v>-20833335</v>
      </c>
      <c r="J246" s="333">
        <f t="shared" si="38"/>
        <v>-1</v>
      </c>
      <c r="K246" s="398">
        <f t="shared" si="50"/>
        <v>50000004</v>
      </c>
      <c r="L246" s="49"/>
      <c r="M246" s="476"/>
      <c r="N246" s="476"/>
      <c r="O246" s="476"/>
      <c r="P246" s="476"/>
      <c r="Q246" s="476"/>
      <c r="R246" s="476"/>
      <c r="S246" s="476"/>
      <c r="T246" s="476"/>
      <c r="U246" s="476"/>
      <c r="V246" s="476"/>
      <c r="W246" s="476"/>
    </row>
    <row r="247" spans="1:23" ht="11.25" customHeight="1" x14ac:dyDescent="0.2">
      <c r="A247" s="410" t="str">
        <f>'Org structure'!E73</f>
        <v>7.5 - Human Resources Management</v>
      </c>
      <c r="B247" s="448"/>
      <c r="C247" s="397">
        <v>0</v>
      </c>
      <c r="D247" s="386">
        <v>0</v>
      </c>
      <c r="E247" s="387">
        <v>0</v>
      </c>
      <c r="F247" s="387">
        <v>0</v>
      </c>
      <c r="G247" s="387">
        <v>0</v>
      </c>
      <c r="H247" s="387">
        <f t="shared" si="49"/>
        <v>0</v>
      </c>
      <c r="I247" s="45">
        <f t="shared" si="37"/>
        <v>0</v>
      </c>
      <c r="J247" s="333" t="str">
        <f t="shared" si="38"/>
        <v/>
      </c>
      <c r="K247" s="398">
        <f t="shared" si="50"/>
        <v>0</v>
      </c>
      <c r="L247" s="49"/>
      <c r="M247" s="476"/>
      <c r="N247" s="476"/>
      <c r="O247" s="476"/>
      <c r="P247" s="476"/>
      <c r="Q247" s="476"/>
      <c r="R247" s="476"/>
      <c r="S247" s="476"/>
      <c r="T247" s="476"/>
      <c r="U247" s="476"/>
      <c r="V247" s="476"/>
      <c r="W247" s="476"/>
    </row>
    <row r="248" spans="1:23" ht="11.25" customHeight="1" x14ac:dyDescent="0.2">
      <c r="A248" s="410" t="str">
        <f>'Org structure'!E74</f>
        <v>7.6 - Human Resources Admin</v>
      </c>
      <c r="B248" s="448"/>
      <c r="C248" s="397">
        <v>0</v>
      </c>
      <c r="D248" s="386">
        <v>0</v>
      </c>
      <c r="E248" s="387">
        <v>0</v>
      </c>
      <c r="F248" s="387">
        <v>0</v>
      </c>
      <c r="G248" s="387">
        <v>0</v>
      </c>
      <c r="H248" s="387">
        <f t="shared" si="49"/>
        <v>0</v>
      </c>
      <c r="I248" s="45">
        <f t="shared" si="37"/>
        <v>0</v>
      </c>
      <c r="J248" s="333" t="str">
        <f t="shared" si="38"/>
        <v/>
      </c>
      <c r="K248" s="398">
        <f t="shared" si="50"/>
        <v>0</v>
      </c>
      <c r="L248" s="49"/>
      <c r="M248" s="476"/>
      <c r="N248" s="476"/>
      <c r="O248" s="476"/>
      <c r="P248" s="476"/>
      <c r="Q248" s="476"/>
      <c r="R248" s="476"/>
      <c r="S248" s="476"/>
      <c r="T248" s="476"/>
      <c r="U248" s="476"/>
      <c r="V248" s="476"/>
      <c r="W248" s="476"/>
    </row>
    <row r="249" spans="1:23" ht="11.25" customHeight="1" x14ac:dyDescent="0.2">
      <c r="A249" s="410" t="str">
        <f>'Org structure'!E75</f>
        <v>7.7 - Human Resources Development</v>
      </c>
      <c r="B249" s="448"/>
      <c r="C249" s="397">
        <v>0</v>
      </c>
      <c r="D249" s="386">
        <v>0</v>
      </c>
      <c r="E249" s="387">
        <v>0</v>
      </c>
      <c r="F249" s="387">
        <v>0</v>
      </c>
      <c r="G249" s="387">
        <v>0</v>
      </c>
      <c r="H249" s="387">
        <f t="shared" si="49"/>
        <v>0</v>
      </c>
      <c r="I249" s="45">
        <f t="shared" si="37"/>
        <v>0</v>
      </c>
      <c r="J249" s="333" t="str">
        <f t="shared" si="38"/>
        <v/>
      </c>
      <c r="K249" s="398">
        <f t="shared" si="50"/>
        <v>0</v>
      </c>
      <c r="L249" s="49"/>
      <c r="M249" s="476"/>
      <c r="N249" s="476"/>
      <c r="O249" s="476"/>
      <c r="P249" s="476"/>
      <c r="Q249" s="476"/>
      <c r="R249" s="476"/>
      <c r="S249" s="476"/>
      <c r="T249" s="476"/>
      <c r="U249" s="476"/>
      <c r="V249" s="476"/>
      <c r="W249" s="476"/>
    </row>
    <row r="250" spans="1:23" ht="11.25" customHeight="1" x14ac:dyDescent="0.2">
      <c r="A250" s="410" t="str">
        <f>'Org structure'!E76</f>
        <v xml:space="preserve">7.8 - </v>
      </c>
      <c r="B250" s="448"/>
      <c r="C250" s="397">
        <v>0</v>
      </c>
      <c r="D250" s="386">
        <v>0</v>
      </c>
      <c r="E250" s="387">
        <v>0</v>
      </c>
      <c r="F250" s="387">
        <v>0</v>
      </c>
      <c r="G250" s="387">
        <v>0</v>
      </c>
      <c r="H250" s="387">
        <f t="shared" si="49"/>
        <v>0</v>
      </c>
      <c r="I250" s="45">
        <f t="shared" si="37"/>
        <v>0</v>
      </c>
      <c r="J250" s="333" t="str">
        <f t="shared" si="38"/>
        <v/>
      </c>
      <c r="K250" s="398">
        <f t="shared" si="50"/>
        <v>0</v>
      </c>
      <c r="L250" s="49"/>
      <c r="M250" s="476"/>
      <c r="N250" s="476"/>
      <c r="O250" s="476"/>
      <c r="P250" s="476"/>
      <c r="Q250" s="476"/>
      <c r="R250" s="476"/>
      <c r="S250" s="476"/>
      <c r="T250" s="476"/>
      <c r="U250" s="476"/>
      <c r="V250" s="476"/>
      <c r="W250" s="476"/>
    </row>
    <row r="251" spans="1:23" ht="11.25" customHeight="1" x14ac:dyDescent="0.2">
      <c r="A251" s="410" t="str">
        <f>'Org structure'!E77</f>
        <v xml:space="preserve">7.9 - </v>
      </c>
      <c r="B251" s="448"/>
      <c r="C251" s="397">
        <v>0</v>
      </c>
      <c r="D251" s="386">
        <v>0</v>
      </c>
      <c r="E251" s="387">
        <v>0</v>
      </c>
      <c r="F251" s="387">
        <v>0</v>
      </c>
      <c r="G251" s="387">
        <v>0</v>
      </c>
      <c r="H251" s="387">
        <f t="shared" si="49"/>
        <v>0</v>
      </c>
      <c r="I251" s="45">
        <f t="shared" si="37"/>
        <v>0</v>
      </c>
      <c r="J251" s="333" t="str">
        <f t="shared" si="38"/>
        <v/>
      </c>
      <c r="K251" s="398">
        <f t="shared" si="50"/>
        <v>0</v>
      </c>
      <c r="L251" s="49"/>
      <c r="M251" s="476"/>
      <c r="N251" s="476"/>
      <c r="O251" s="476"/>
      <c r="P251" s="476"/>
      <c r="Q251" s="476"/>
      <c r="R251" s="476"/>
      <c r="S251" s="476"/>
      <c r="T251" s="476"/>
      <c r="U251" s="476"/>
      <c r="V251" s="476"/>
      <c r="W251" s="476"/>
    </row>
    <row r="252" spans="1:23" ht="11.25" customHeight="1" x14ac:dyDescent="0.2">
      <c r="A252" s="410" t="str">
        <f>'Org structure'!E78</f>
        <v xml:space="preserve">7.10 - </v>
      </c>
      <c r="B252" s="448"/>
      <c r="C252" s="397">
        <v>0</v>
      </c>
      <c r="D252" s="386">
        <v>0</v>
      </c>
      <c r="E252" s="387">
        <v>-9000000</v>
      </c>
      <c r="F252" s="387">
        <v>0</v>
      </c>
      <c r="G252" s="387">
        <v>0</v>
      </c>
      <c r="H252" s="387">
        <f t="shared" si="49"/>
        <v>-3750000</v>
      </c>
      <c r="I252" s="45">
        <f t="shared" si="37"/>
        <v>3750000</v>
      </c>
      <c r="J252" s="333">
        <f t="shared" si="38"/>
        <v>-1</v>
      </c>
      <c r="K252" s="398">
        <f>E252</f>
        <v>-9000000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51">SUM(C254:C263)</f>
        <v>19426325.331500001</v>
      </c>
      <c r="D253" s="447">
        <f t="shared" si="51"/>
        <v>44884000</v>
      </c>
      <c r="E253" s="444">
        <f t="shared" si="51"/>
        <v>40808008</v>
      </c>
      <c r="F253" s="446">
        <f t="shared" si="51"/>
        <v>0</v>
      </c>
      <c r="G253" s="444">
        <f t="shared" si="51"/>
        <v>825321.38400004595</v>
      </c>
      <c r="H253" s="446">
        <f t="shared" si="51"/>
        <v>17003336.666666668</v>
      </c>
      <c r="I253" s="45">
        <f t="shared" si="37"/>
        <v>-16178015.282666622</v>
      </c>
      <c r="J253" s="333">
        <f t="shared" si="38"/>
        <v>-0.95146121022128527</v>
      </c>
      <c r="K253" s="445">
        <f t="shared" si="51"/>
        <v>40807992</v>
      </c>
      <c r="L253" s="49"/>
      <c r="M253" s="476"/>
      <c r="N253" s="476"/>
      <c r="O253" s="476"/>
      <c r="P253" s="476"/>
      <c r="Q253" s="476"/>
      <c r="R253" s="476"/>
      <c r="S253" s="476"/>
      <c r="T253" s="476"/>
      <c r="U253" s="476"/>
      <c r="V253" s="476"/>
      <c r="W253" s="476"/>
    </row>
    <row r="254" spans="1:23" ht="11.25" customHeight="1" x14ac:dyDescent="0.2">
      <c r="A254" s="410" t="str">
        <f>'Org structure'!E80</f>
        <v>8.1 - Directorate Planning and Development</v>
      </c>
      <c r="B254" s="448"/>
      <c r="C254" s="397">
        <v>0</v>
      </c>
      <c r="D254" s="386">
        <v>0</v>
      </c>
      <c r="E254" s="387">
        <v>0</v>
      </c>
      <c r="F254" s="387">
        <v>0</v>
      </c>
      <c r="G254" s="387">
        <v>0</v>
      </c>
      <c r="H254" s="475">
        <f t="shared" ref="H254:H263" si="52">E254/12*5</f>
        <v>0</v>
      </c>
      <c r="I254" s="45">
        <f t="shared" si="37"/>
        <v>0</v>
      </c>
      <c r="J254" s="333" t="str">
        <f t="shared" si="38"/>
        <v/>
      </c>
      <c r="K254" s="398">
        <f t="shared" ref="K254:K263" si="53">D254</f>
        <v>0</v>
      </c>
      <c r="L254" s="49"/>
      <c r="M254" s="476"/>
      <c r="N254" s="476"/>
      <c r="O254" s="476"/>
      <c r="P254" s="476"/>
      <c r="Q254" s="476"/>
      <c r="R254" s="476"/>
      <c r="S254" s="476"/>
      <c r="T254" s="476"/>
      <c r="U254" s="476"/>
      <c r="V254" s="476"/>
      <c r="W254" s="476"/>
    </row>
    <row r="255" spans="1:23" ht="11.25" customHeight="1" x14ac:dyDescent="0.2">
      <c r="A255" s="410" t="str">
        <f>'Org structure'!E81</f>
        <v>8.2 - Property Services</v>
      </c>
      <c r="B255" s="448"/>
      <c r="C255" s="397">
        <v>19426325.331500001</v>
      </c>
      <c r="D255" s="386">
        <v>30045500</v>
      </c>
      <c r="E255" s="387">
        <v>25969492</v>
      </c>
      <c r="F255" s="387"/>
      <c r="G255" s="387">
        <v>557588.055500046</v>
      </c>
      <c r="H255" s="387">
        <f t="shared" si="52"/>
        <v>10820621.666666668</v>
      </c>
      <c r="I255" s="45">
        <f t="shared" si="37"/>
        <v>-10263033.611166622</v>
      </c>
      <c r="J255" s="333">
        <f t="shared" si="38"/>
        <v>-0.94846986867513206</v>
      </c>
      <c r="K255" s="398">
        <f>E255</f>
        <v>25969492</v>
      </c>
      <c r="L255" s="49"/>
      <c r="M255" s="476"/>
      <c r="N255" s="476"/>
      <c r="O255" s="476"/>
      <c r="P255" s="476"/>
      <c r="Q255" s="476"/>
      <c r="R255" s="476"/>
      <c r="S255" s="476"/>
      <c r="T255" s="476"/>
      <c r="U255" s="476"/>
      <c r="V255" s="476"/>
      <c r="W255" s="476"/>
    </row>
    <row r="256" spans="1:23" ht="11.25" customHeight="1" x14ac:dyDescent="0.2">
      <c r="A256" s="410" t="str">
        <f>'Org structure'!E82</f>
        <v>8.3 - City and Regional Planning</v>
      </c>
      <c r="B256" s="448"/>
      <c r="C256" s="397">
        <v>0</v>
      </c>
      <c r="D256" s="386">
        <v>12238500</v>
      </c>
      <c r="E256" s="387">
        <v>12238512</v>
      </c>
      <c r="F256" s="387"/>
      <c r="G256" s="387">
        <v>267733.3285</v>
      </c>
      <c r="H256" s="387">
        <f t="shared" si="52"/>
        <v>5099380</v>
      </c>
      <c r="I256" s="45">
        <f t="shared" si="37"/>
        <v>-4831646.6715000002</v>
      </c>
      <c r="J256" s="333">
        <f t="shared" si="38"/>
        <v>-0.94749688619008587</v>
      </c>
      <c r="K256" s="398">
        <f t="shared" si="53"/>
        <v>12238500</v>
      </c>
      <c r="L256" s="49"/>
      <c r="M256" s="476"/>
      <c r="N256" s="476"/>
      <c r="O256" s="476"/>
      <c r="P256" s="476"/>
      <c r="Q256" s="476"/>
      <c r="R256" s="476"/>
      <c r="S256" s="476"/>
      <c r="T256" s="476"/>
      <c r="U256" s="476"/>
      <c r="V256" s="476"/>
      <c r="W256" s="476"/>
    </row>
    <row r="257" spans="1:23" ht="11.25" customHeight="1" x14ac:dyDescent="0.2">
      <c r="A257" s="410" t="str">
        <f>'Org structure'!E83</f>
        <v>8.4 - Corporate Geo Information</v>
      </c>
      <c r="B257" s="448"/>
      <c r="C257" s="397">
        <v>0</v>
      </c>
      <c r="D257" s="386">
        <v>2600000</v>
      </c>
      <c r="E257" s="387">
        <v>2600004</v>
      </c>
      <c r="F257" s="387">
        <v>0</v>
      </c>
      <c r="G257" s="387">
        <v>0</v>
      </c>
      <c r="H257" s="387">
        <f t="shared" si="52"/>
        <v>1083335</v>
      </c>
      <c r="I257" s="45">
        <f t="shared" si="37"/>
        <v>-1083335</v>
      </c>
      <c r="J257" s="333">
        <f t="shared" si="38"/>
        <v>-1</v>
      </c>
      <c r="K257" s="398">
        <f t="shared" si="53"/>
        <v>2600000</v>
      </c>
      <c r="L257" s="49"/>
      <c r="M257" s="476"/>
      <c r="N257" s="476"/>
      <c r="O257" s="476"/>
      <c r="P257" s="476"/>
      <c r="Q257" s="476"/>
      <c r="R257" s="476"/>
      <c r="S257" s="476"/>
      <c r="T257" s="476"/>
      <c r="U257" s="476"/>
      <c r="V257" s="476"/>
      <c r="W257" s="476"/>
    </row>
    <row r="258" spans="1:23" ht="11.25" customHeight="1" x14ac:dyDescent="0.2">
      <c r="A258" s="410" t="str">
        <f>'Org structure'!E84</f>
        <v>8.5 - Building Inspectorate</v>
      </c>
      <c r="B258" s="448"/>
      <c r="C258" s="397">
        <v>0</v>
      </c>
      <c r="D258" s="386">
        <v>0</v>
      </c>
      <c r="E258" s="387">
        <v>0</v>
      </c>
      <c r="F258" s="387">
        <v>0</v>
      </c>
      <c r="G258" s="387">
        <v>0</v>
      </c>
      <c r="H258" s="475">
        <f t="shared" si="52"/>
        <v>0</v>
      </c>
      <c r="I258" s="45">
        <f t="shared" si="37"/>
        <v>0</v>
      </c>
      <c r="J258" s="333" t="str">
        <f t="shared" si="38"/>
        <v/>
      </c>
      <c r="K258" s="398">
        <f t="shared" si="53"/>
        <v>0</v>
      </c>
      <c r="L258" s="49"/>
      <c r="M258" s="476"/>
      <c r="N258" s="476"/>
      <c r="O258" s="476"/>
      <c r="P258" s="476"/>
      <c r="Q258" s="476"/>
      <c r="R258" s="476"/>
      <c r="S258" s="476"/>
      <c r="T258" s="476"/>
      <c r="U258" s="476"/>
      <c r="V258" s="476"/>
      <c r="W258" s="476"/>
    </row>
    <row r="259" spans="1:23" ht="11.25" customHeight="1" x14ac:dyDescent="0.2">
      <c r="A259" s="410" t="str">
        <f>'Org structure'!E85</f>
        <v>8.6 - Economic Development and Tourism</v>
      </c>
      <c r="B259" s="448"/>
      <c r="C259" s="397">
        <v>0</v>
      </c>
      <c r="D259" s="386">
        <v>0</v>
      </c>
      <c r="E259" s="387">
        <v>0</v>
      </c>
      <c r="F259" s="387">
        <v>0</v>
      </c>
      <c r="G259" s="387">
        <v>0</v>
      </c>
      <c r="H259" s="475">
        <f t="shared" si="52"/>
        <v>0</v>
      </c>
      <c r="I259" s="45">
        <f t="shared" si="37"/>
        <v>0</v>
      </c>
      <c r="J259" s="333" t="str">
        <f t="shared" si="38"/>
        <v/>
      </c>
      <c r="K259" s="398">
        <f t="shared" si="53"/>
        <v>0</v>
      </c>
      <c r="L259" s="49"/>
      <c r="M259" s="476"/>
      <c r="N259" s="476"/>
      <c r="O259" s="476"/>
      <c r="P259" s="476"/>
      <c r="Q259" s="476"/>
      <c r="R259" s="476"/>
      <c r="S259" s="476"/>
      <c r="T259" s="476"/>
      <c r="U259" s="476"/>
      <c r="V259" s="476"/>
      <c r="W259" s="476"/>
    </row>
    <row r="260" spans="1:23" ht="11.25" customHeight="1" x14ac:dyDescent="0.2">
      <c r="A260" s="410" t="str">
        <f>'Org structure'!E86</f>
        <v>8.7 - Local Economic Development</v>
      </c>
      <c r="B260" s="448"/>
      <c r="C260" s="397">
        <v>0</v>
      </c>
      <c r="D260" s="386">
        <v>0</v>
      </c>
      <c r="E260" s="387">
        <v>0</v>
      </c>
      <c r="F260" s="387">
        <v>0</v>
      </c>
      <c r="G260" s="387">
        <v>0</v>
      </c>
      <c r="H260" s="475">
        <f t="shared" si="52"/>
        <v>0</v>
      </c>
      <c r="I260" s="45">
        <f t="shared" si="37"/>
        <v>0</v>
      </c>
      <c r="J260" s="333" t="str">
        <f t="shared" si="38"/>
        <v/>
      </c>
      <c r="K260" s="398">
        <f t="shared" si="53"/>
        <v>0</v>
      </c>
      <c r="L260" s="49"/>
      <c r="M260" s="476"/>
      <c r="N260" s="476"/>
      <c r="O260" s="476"/>
      <c r="P260" s="476"/>
      <c r="Q260" s="476"/>
      <c r="R260" s="476"/>
      <c r="S260" s="476"/>
      <c r="T260" s="476"/>
      <c r="U260" s="476"/>
      <c r="V260" s="476"/>
      <c r="W260" s="476"/>
    </row>
    <row r="261" spans="1:23" ht="11.25" customHeight="1" x14ac:dyDescent="0.2">
      <c r="A261" s="410" t="str">
        <f>'Org structure'!E87</f>
        <v>8.8 - Investment Promotion</v>
      </c>
      <c r="B261" s="448"/>
      <c r="C261" s="397">
        <v>0</v>
      </c>
      <c r="D261" s="386">
        <v>0</v>
      </c>
      <c r="E261" s="387">
        <v>0</v>
      </c>
      <c r="F261" s="387">
        <v>0</v>
      </c>
      <c r="G261" s="387">
        <v>0</v>
      </c>
      <c r="H261" s="475">
        <f t="shared" si="52"/>
        <v>0</v>
      </c>
      <c r="I261" s="45">
        <f t="shared" si="37"/>
        <v>0</v>
      </c>
      <c r="J261" s="333" t="str">
        <f t="shared" si="38"/>
        <v/>
      </c>
      <c r="K261" s="398">
        <f t="shared" si="53"/>
        <v>0</v>
      </c>
      <c r="L261" s="49"/>
      <c r="M261" s="476"/>
      <c r="N261" s="476"/>
      <c r="O261" s="476"/>
      <c r="P261" s="476"/>
      <c r="Q261" s="476"/>
      <c r="R261" s="476"/>
      <c r="S261" s="476"/>
      <c r="T261" s="476"/>
      <c r="U261" s="476"/>
      <c r="V261" s="476"/>
      <c r="W261" s="476"/>
    </row>
    <row r="262" spans="1:23" ht="11.25" customHeight="1" x14ac:dyDescent="0.2">
      <c r="A262" s="410" t="str">
        <f>'Org structure'!E88</f>
        <v>8.9 - LED (Economic Planning)</v>
      </c>
      <c r="B262" s="448"/>
      <c r="C262" s="397">
        <v>0</v>
      </c>
      <c r="D262" s="386">
        <v>0</v>
      </c>
      <c r="E262" s="387">
        <v>0</v>
      </c>
      <c r="F262" s="387">
        <v>0</v>
      </c>
      <c r="G262" s="387">
        <v>0</v>
      </c>
      <c r="H262" s="475">
        <f t="shared" si="52"/>
        <v>0</v>
      </c>
      <c r="I262" s="45">
        <f t="shared" si="37"/>
        <v>0</v>
      </c>
      <c r="J262" s="333" t="str">
        <f t="shared" si="38"/>
        <v/>
      </c>
      <c r="K262" s="398">
        <f t="shared" si="53"/>
        <v>0</v>
      </c>
      <c r="L262" s="49"/>
      <c r="M262" s="476"/>
      <c r="N262" s="476"/>
      <c r="O262" s="476"/>
      <c r="P262" s="476"/>
      <c r="Q262" s="476"/>
      <c r="R262" s="476"/>
      <c r="S262" s="476"/>
      <c r="T262" s="476"/>
      <c r="U262" s="476"/>
      <c r="V262" s="476"/>
      <c r="W262" s="476"/>
    </row>
    <row r="263" spans="1:23" ht="11.25" customHeight="1" x14ac:dyDescent="0.2">
      <c r="A263" s="410" t="str">
        <f>'Org structure'!E89</f>
        <v>8.10 - Other Planning and Economic Development</v>
      </c>
      <c r="B263" s="448"/>
      <c r="C263" s="397">
        <v>0</v>
      </c>
      <c r="D263" s="386">
        <v>0</v>
      </c>
      <c r="E263" s="387">
        <v>0</v>
      </c>
      <c r="F263" s="475">
        <v>0</v>
      </c>
      <c r="G263" s="387">
        <v>0</v>
      </c>
      <c r="H263" s="475">
        <f t="shared" si="52"/>
        <v>0</v>
      </c>
      <c r="I263" s="45">
        <f t="shared" si="37"/>
        <v>0</v>
      </c>
      <c r="J263" s="333" t="str">
        <f t="shared" si="38"/>
        <v/>
      </c>
      <c r="K263" s="398">
        <f t="shared" si="53"/>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54">SUM(C265:C274)</f>
        <v>51981524.6765</v>
      </c>
      <c r="D264" s="447">
        <f t="shared" si="54"/>
        <v>6500000</v>
      </c>
      <c r="E264" s="444">
        <f t="shared" si="54"/>
        <v>6500000</v>
      </c>
      <c r="F264" s="446">
        <f t="shared" si="54"/>
        <v>377670.99400000001</v>
      </c>
      <c r="G264" s="444">
        <f t="shared" si="54"/>
        <v>377670.99400000001</v>
      </c>
      <c r="H264" s="446">
        <f t="shared" si="54"/>
        <v>2708333.333333333</v>
      </c>
      <c r="I264" s="45">
        <f t="shared" ref="I264:I327" si="55">G264-H264</f>
        <v>-2330662.3393333331</v>
      </c>
      <c r="J264" s="333">
        <f t="shared" ref="J264:J327" si="56">IF(I264=0,"",I264/H264)</f>
        <v>-0.86055224836923072</v>
      </c>
      <c r="K264" s="445">
        <f t="shared" si="54"/>
        <v>6500000</v>
      </c>
      <c r="L264" s="49"/>
      <c r="M264" s="476"/>
      <c r="N264" s="476"/>
      <c r="O264" s="476"/>
      <c r="P264" s="476"/>
      <c r="Q264" s="476"/>
      <c r="R264" s="476"/>
      <c r="S264" s="476"/>
      <c r="T264" s="476"/>
      <c r="U264" s="476"/>
      <c r="V264" s="476"/>
      <c r="W264" s="476"/>
    </row>
    <row r="265" spans="1:23" ht="11.25" customHeight="1" x14ac:dyDescent="0.2">
      <c r="A265" s="410" t="str">
        <f>'Org structure'!E91</f>
        <v>9.1 - Budget and Treasury Office (Administration)</v>
      </c>
      <c r="B265" s="448"/>
      <c r="C265" s="397">
        <v>0</v>
      </c>
      <c r="D265" s="386">
        <v>0</v>
      </c>
      <c r="E265" s="387">
        <v>0</v>
      </c>
      <c r="F265" s="387">
        <v>0</v>
      </c>
      <c r="G265" s="387">
        <v>0</v>
      </c>
      <c r="H265" s="475">
        <f t="shared" ref="H265:H274" si="57">E265/12*5</f>
        <v>0</v>
      </c>
      <c r="I265" s="45">
        <f t="shared" si="55"/>
        <v>0</v>
      </c>
      <c r="J265" s="333" t="str">
        <f t="shared" si="56"/>
        <v/>
      </c>
      <c r="K265" s="398">
        <f t="shared" ref="K265:K274" si="58">D265</f>
        <v>0</v>
      </c>
      <c r="L265" s="49"/>
      <c r="M265" s="476"/>
      <c r="N265" s="476"/>
      <c r="O265" s="476"/>
      <c r="P265" s="476"/>
      <c r="Q265" s="476"/>
      <c r="R265" s="476"/>
      <c r="S265" s="476"/>
      <c r="T265" s="476"/>
      <c r="U265" s="476"/>
      <c r="V265" s="476"/>
      <c r="W265" s="476"/>
    </row>
    <row r="266" spans="1:23" ht="11.25" customHeight="1" x14ac:dyDescent="0.2">
      <c r="A266" s="410" t="str">
        <f>'Org structure'!E92</f>
        <v>9.2 - Expenditure</v>
      </c>
      <c r="B266" s="448"/>
      <c r="C266" s="397">
        <v>0</v>
      </c>
      <c r="D266" s="386">
        <v>0</v>
      </c>
      <c r="E266" s="387">
        <v>0</v>
      </c>
      <c r="F266" s="387">
        <v>0</v>
      </c>
      <c r="G266" s="387">
        <v>0</v>
      </c>
      <c r="H266" s="475">
        <f t="shared" si="57"/>
        <v>0</v>
      </c>
      <c r="I266" s="45">
        <f t="shared" si="55"/>
        <v>0</v>
      </c>
      <c r="J266" s="333" t="str">
        <f t="shared" si="56"/>
        <v/>
      </c>
      <c r="K266" s="398">
        <f t="shared" si="58"/>
        <v>0</v>
      </c>
      <c r="L266" s="49"/>
      <c r="M266" s="476"/>
      <c r="N266" s="476"/>
      <c r="O266" s="476"/>
      <c r="P266" s="476"/>
      <c r="Q266" s="476"/>
      <c r="R266" s="476"/>
      <c r="S266" s="476"/>
      <c r="T266" s="476"/>
      <c r="U266" s="476"/>
      <c r="V266" s="476"/>
      <c r="W266" s="476"/>
    </row>
    <row r="267" spans="1:23" ht="11.25" customHeight="1" x14ac:dyDescent="0.2">
      <c r="A267" s="410" t="str">
        <f>'Org structure'!E93</f>
        <v>9.3 - Revenue Management and Customer Care</v>
      </c>
      <c r="B267" s="448"/>
      <c r="C267" s="961">
        <v>0</v>
      </c>
      <c r="D267" s="386">
        <v>0</v>
      </c>
      <c r="E267" s="387">
        <v>0</v>
      </c>
      <c r="F267" s="387">
        <v>0</v>
      </c>
      <c r="G267" s="387">
        <v>0</v>
      </c>
      <c r="H267" s="475">
        <f t="shared" si="57"/>
        <v>0</v>
      </c>
      <c r="I267" s="45">
        <f t="shared" si="55"/>
        <v>0</v>
      </c>
      <c r="J267" s="333" t="str">
        <f t="shared" si="56"/>
        <v/>
      </c>
      <c r="K267" s="398">
        <f t="shared" si="58"/>
        <v>0</v>
      </c>
      <c r="L267" s="49"/>
      <c r="M267" s="476"/>
      <c r="N267" s="476"/>
      <c r="O267" s="476"/>
      <c r="P267" s="476"/>
      <c r="Q267" s="476"/>
      <c r="R267" s="476"/>
      <c r="S267" s="476"/>
      <c r="T267" s="476"/>
      <c r="U267" s="476"/>
      <c r="V267" s="476"/>
      <c r="W267" s="476"/>
    </row>
    <row r="268" spans="1:23" ht="11.25" customHeight="1" x14ac:dyDescent="0.2">
      <c r="A268" s="410" t="str">
        <f>'Org structure'!E94</f>
        <v>9.4 - Supply Chain Management</v>
      </c>
      <c r="B268" s="448"/>
      <c r="C268" s="397">
        <v>51981524.6765</v>
      </c>
      <c r="D268" s="386">
        <v>6500000</v>
      </c>
      <c r="E268" s="387">
        <v>6500000</v>
      </c>
      <c r="F268" s="387">
        <v>377670.99400000001</v>
      </c>
      <c r="G268" s="387">
        <v>377670.99400000001</v>
      </c>
      <c r="H268" s="387">
        <f t="shared" si="57"/>
        <v>2708333.333333333</v>
      </c>
      <c r="I268" s="45">
        <f t="shared" si="55"/>
        <v>-2330662.3393333331</v>
      </c>
      <c r="J268" s="333">
        <f t="shared" si="56"/>
        <v>-0.86055224836923072</v>
      </c>
      <c r="K268" s="398">
        <f t="shared" si="58"/>
        <v>6500000</v>
      </c>
      <c r="L268" s="49"/>
      <c r="M268" s="476"/>
      <c r="N268" s="476"/>
      <c r="O268" s="476"/>
      <c r="P268" s="476"/>
      <c r="Q268" s="476"/>
      <c r="R268" s="476"/>
      <c r="S268" s="476"/>
      <c r="T268" s="476"/>
      <c r="U268" s="476"/>
      <c r="V268" s="476"/>
      <c r="W268" s="476"/>
    </row>
    <row r="269" spans="1:23" ht="11.25" customHeight="1" x14ac:dyDescent="0.2">
      <c r="A269" s="410" t="str">
        <f>'Org structure'!E95</f>
        <v>9.5 - Asset Management</v>
      </c>
      <c r="B269" s="448"/>
      <c r="C269" s="397">
        <v>0</v>
      </c>
      <c r="D269" s="386">
        <v>0</v>
      </c>
      <c r="E269" s="387">
        <v>0</v>
      </c>
      <c r="F269" s="387">
        <v>0</v>
      </c>
      <c r="G269" s="387">
        <v>0</v>
      </c>
      <c r="H269" s="475">
        <f t="shared" si="57"/>
        <v>0</v>
      </c>
      <c r="I269" s="45">
        <f t="shared" si="55"/>
        <v>0</v>
      </c>
      <c r="J269" s="333" t="str">
        <f t="shared" si="56"/>
        <v/>
      </c>
      <c r="K269" s="398">
        <f t="shared" si="58"/>
        <v>0</v>
      </c>
      <c r="L269" s="49"/>
      <c r="M269" s="476"/>
      <c r="N269" s="476"/>
      <c r="O269" s="476"/>
      <c r="P269" s="476"/>
      <c r="Q269" s="476"/>
      <c r="R269" s="476"/>
      <c r="S269" s="476"/>
      <c r="T269" s="476"/>
      <c r="U269" s="476"/>
      <c r="V269" s="476"/>
      <c r="W269" s="476"/>
    </row>
    <row r="270" spans="1:23" ht="11.25" customHeight="1" x14ac:dyDescent="0.2">
      <c r="A270" s="410" t="str">
        <f>'Org structure'!E96</f>
        <v>9.6 - Budget and Financial Reporting</v>
      </c>
      <c r="B270" s="448"/>
      <c r="C270" s="397">
        <v>0</v>
      </c>
      <c r="D270" s="386">
        <v>0</v>
      </c>
      <c r="E270" s="387">
        <v>0</v>
      </c>
      <c r="F270" s="387">
        <v>0</v>
      </c>
      <c r="G270" s="387">
        <v>0</v>
      </c>
      <c r="H270" s="475">
        <f t="shared" si="57"/>
        <v>0</v>
      </c>
      <c r="I270" s="45">
        <f t="shared" si="55"/>
        <v>0</v>
      </c>
      <c r="J270" s="333" t="str">
        <f t="shared" si="56"/>
        <v/>
      </c>
      <c r="K270" s="398">
        <f t="shared" si="58"/>
        <v>0</v>
      </c>
      <c r="L270" s="49"/>
      <c r="M270" s="476"/>
      <c r="N270" s="476"/>
      <c r="O270" s="476"/>
      <c r="P270" s="476"/>
      <c r="Q270" s="476"/>
      <c r="R270" s="476"/>
      <c r="S270" s="476"/>
      <c r="T270" s="476"/>
      <c r="U270" s="476"/>
      <c r="V270" s="476"/>
      <c r="W270" s="476"/>
    </row>
    <row r="271" spans="1:23" ht="11.25" customHeight="1" x14ac:dyDescent="0.2">
      <c r="A271" s="410" t="str">
        <f>'Org structure'!E97</f>
        <v>9.7 - Business and Financial Planning</v>
      </c>
      <c r="B271" s="448"/>
      <c r="C271" s="397">
        <v>0</v>
      </c>
      <c r="D271" s="386">
        <v>0</v>
      </c>
      <c r="E271" s="387">
        <v>0</v>
      </c>
      <c r="F271" s="387">
        <v>0</v>
      </c>
      <c r="G271" s="387">
        <v>0</v>
      </c>
      <c r="H271" s="475">
        <f t="shared" si="57"/>
        <v>0</v>
      </c>
      <c r="I271" s="45">
        <f t="shared" si="55"/>
        <v>0</v>
      </c>
      <c r="J271" s="333" t="str">
        <f t="shared" si="56"/>
        <v/>
      </c>
      <c r="K271" s="398">
        <f t="shared" si="58"/>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v>0</v>
      </c>
      <c r="D272" s="386">
        <v>0</v>
      </c>
      <c r="E272" s="387">
        <v>0</v>
      </c>
      <c r="F272" s="387">
        <v>0</v>
      </c>
      <c r="G272" s="387">
        <v>0</v>
      </c>
      <c r="H272" s="475">
        <f t="shared" si="57"/>
        <v>0</v>
      </c>
      <c r="I272" s="45">
        <f t="shared" si="55"/>
        <v>0</v>
      </c>
      <c r="J272" s="333" t="str">
        <f t="shared" si="56"/>
        <v/>
      </c>
      <c r="K272" s="398">
        <f t="shared" si="58"/>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v>0</v>
      </c>
      <c r="D273" s="386">
        <v>0</v>
      </c>
      <c r="E273" s="387">
        <v>0</v>
      </c>
      <c r="F273" s="387">
        <v>0</v>
      </c>
      <c r="G273" s="387">
        <v>0</v>
      </c>
      <c r="H273" s="475">
        <f t="shared" si="57"/>
        <v>0</v>
      </c>
      <c r="I273" s="45">
        <f t="shared" si="55"/>
        <v>0</v>
      </c>
      <c r="J273" s="333" t="str">
        <f t="shared" si="56"/>
        <v/>
      </c>
      <c r="K273" s="398">
        <f t="shared" si="58"/>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v>0</v>
      </c>
      <c r="D274" s="386">
        <v>0</v>
      </c>
      <c r="E274" s="387">
        <v>0</v>
      </c>
      <c r="F274" s="387">
        <v>0</v>
      </c>
      <c r="G274" s="387">
        <v>0</v>
      </c>
      <c r="H274" s="475">
        <f t="shared" si="57"/>
        <v>0</v>
      </c>
      <c r="I274" s="45">
        <f t="shared" si="55"/>
        <v>0</v>
      </c>
      <c r="J274" s="333" t="str">
        <f t="shared" si="56"/>
        <v/>
      </c>
      <c r="K274" s="398">
        <f t="shared" si="58"/>
        <v>0</v>
      </c>
      <c r="L274" s="49"/>
      <c r="M274" s="476"/>
      <c r="N274" s="476"/>
      <c r="O274" s="476"/>
      <c r="P274" s="476"/>
      <c r="Q274" s="476"/>
      <c r="R274" s="476"/>
      <c r="S274" s="476"/>
      <c r="T274" s="476"/>
      <c r="U274" s="476"/>
      <c r="V274" s="476"/>
      <c r="W274" s="476"/>
    </row>
    <row r="275" spans="1:23" ht="11.25" customHeight="1" x14ac:dyDescent="0.2">
      <c r="A275" s="469" t="str">
        <f>'Org structure'!A11</f>
        <v>Vote 10 - Transport Services</v>
      </c>
      <c r="B275" s="448"/>
      <c r="C275" s="506">
        <f t="shared" ref="C275:H275" si="59">SUM(C276:C285)</f>
        <v>522612346.71286905</v>
      </c>
      <c r="D275" s="447">
        <f t="shared" si="59"/>
        <v>681486000</v>
      </c>
      <c r="E275" s="444">
        <f t="shared" si="59"/>
        <v>663311080</v>
      </c>
      <c r="F275" s="446">
        <f t="shared" si="59"/>
        <v>19318652.890000001</v>
      </c>
      <c r="G275" s="444">
        <f t="shared" si="59"/>
        <v>73436841.518999994</v>
      </c>
      <c r="H275" s="446">
        <f t="shared" si="59"/>
        <v>276379616.66666669</v>
      </c>
      <c r="I275" s="45">
        <f t="shared" si="55"/>
        <v>-202942775.14766669</v>
      </c>
      <c r="J275" s="333">
        <f t="shared" si="56"/>
        <v>-0.73428995088458349</v>
      </c>
      <c r="K275" s="445">
        <f>SUM(K276:K285)</f>
        <v>663311080</v>
      </c>
      <c r="L275" s="49"/>
      <c r="M275" s="476"/>
      <c r="N275" s="476"/>
      <c r="O275" s="476"/>
      <c r="P275" s="476"/>
      <c r="Q275" s="476"/>
      <c r="R275" s="476"/>
      <c r="S275" s="476"/>
      <c r="T275" s="476"/>
      <c r="U275" s="476"/>
      <c r="V275" s="476"/>
      <c r="W275" s="476"/>
    </row>
    <row r="276" spans="1:23" ht="11.25" customHeight="1" x14ac:dyDescent="0.2">
      <c r="A276" s="410" t="str">
        <f>'Org structure'!E102</f>
        <v>10.1 - Roads and streets</v>
      </c>
      <c r="B276" s="448"/>
      <c r="C276" s="397">
        <v>209779647.472</v>
      </c>
      <c r="D276" s="386">
        <v>522053000</v>
      </c>
      <c r="E276" s="387">
        <v>503878072</v>
      </c>
      <c r="F276" s="475">
        <v>16558252.161</v>
      </c>
      <c r="G276" s="387">
        <f>41546619.2845+F276</f>
        <v>58104871.445500001</v>
      </c>
      <c r="H276" s="387">
        <f t="shared" ref="H276:H285" si="60">E276/12*5</f>
        <v>209949196.66666669</v>
      </c>
      <c r="I276" s="45">
        <f t="shared" si="55"/>
        <v>-151844325.22116667</v>
      </c>
      <c r="J276" s="333">
        <f t="shared" si="56"/>
        <v>-0.72324318278887112</v>
      </c>
      <c r="K276" s="398">
        <f>E276</f>
        <v>503878072</v>
      </c>
      <c r="L276" s="49"/>
      <c r="M276" s="476"/>
      <c r="N276" s="476"/>
      <c r="O276" s="476"/>
      <c r="P276" s="476"/>
      <c r="Q276" s="476"/>
      <c r="R276" s="476"/>
      <c r="S276" s="476"/>
      <c r="T276" s="476"/>
      <c r="U276" s="476"/>
      <c r="V276" s="476"/>
      <c r="W276" s="476"/>
    </row>
    <row r="277" spans="1:23" ht="11.25" customHeight="1" x14ac:dyDescent="0.2">
      <c r="A277" s="410" t="str">
        <f>'Org structure'!E103</f>
        <v>10.2 - Transport Services</v>
      </c>
      <c r="B277" s="448"/>
      <c r="C277" s="397">
        <v>312832699.24086905</v>
      </c>
      <c r="D277" s="386">
        <v>159433000</v>
      </c>
      <c r="E277" s="387">
        <v>159433008</v>
      </c>
      <c r="F277" s="387">
        <v>2760400.7289999998</v>
      </c>
      <c r="G277" s="387">
        <f>12571569.3445+F277</f>
        <v>15331970.0735</v>
      </c>
      <c r="H277" s="387">
        <f t="shared" si="60"/>
        <v>66430420</v>
      </c>
      <c r="I277" s="45">
        <f t="shared" si="55"/>
        <v>-51098449.9265</v>
      </c>
      <c r="J277" s="333">
        <f t="shared" si="56"/>
        <v>-0.76920257205208098</v>
      </c>
      <c r="K277" s="398">
        <f>E277</f>
        <v>159433008</v>
      </c>
      <c r="L277" s="49"/>
      <c r="M277" s="476"/>
      <c r="N277" s="476"/>
      <c r="O277" s="476"/>
      <c r="P277" s="476"/>
      <c r="Q277" s="476"/>
      <c r="R277" s="476"/>
      <c r="S277" s="476"/>
      <c r="T277" s="476"/>
      <c r="U277" s="476"/>
      <c r="V277" s="476"/>
      <c r="W277" s="476"/>
    </row>
    <row r="278" spans="1:23" ht="11.25" customHeight="1" x14ac:dyDescent="0.2">
      <c r="A278" s="410" t="str">
        <f>'Org structure'!E104</f>
        <v>10.3 - Transport Services (Planning and Operations)</v>
      </c>
      <c r="B278" s="448"/>
      <c r="C278" s="397">
        <v>0</v>
      </c>
      <c r="D278" s="386">
        <v>0</v>
      </c>
      <c r="E278" s="387">
        <v>0</v>
      </c>
      <c r="F278" s="387">
        <v>0</v>
      </c>
      <c r="G278" s="387">
        <v>0</v>
      </c>
      <c r="H278" s="387">
        <f t="shared" si="60"/>
        <v>0</v>
      </c>
      <c r="I278" s="45">
        <f t="shared" si="55"/>
        <v>0</v>
      </c>
      <c r="J278" s="333" t="str">
        <f t="shared" si="56"/>
        <v/>
      </c>
      <c r="K278" s="398">
        <f t="shared" ref="K278:K285" si="61">D278</f>
        <v>0</v>
      </c>
      <c r="L278" s="49"/>
      <c r="M278" s="476"/>
      <c r="N278" s="476"/>
      <c r="O278" s="476"/>
      <c r="P278" s="476"/>
      <c r="Q278" s="476"/>
      <c r="R278" s="476"/>
      <c r="S278" s="476"/>
      <c r="T278" s="476"/>
      <c r="U278" s="476"/>
      <c r="V278" s="476"/>
      <c r="W278" s="476"/>
    </row>
    <row r="279" spans="1:23" ht="11.25" customHeight="1" x14ac:dyDescent="0.2">
      <c r="A279" s="410" t="str">
        <f>'Org structure'!E105</f>
        <v>10.4 - Transport Services (Intelligent Transport and Operations)</v>
      </c>
      <c r="B279" s="448"/>
      <c r="C279" s="397">
        <v>0</v>
      </c>
      <c r="D279" s="386">
        <v>0</v>
      </c>
      <c r="E279" s="387">
        <v>0</v>
      </c>
      <c r="F279" s="387">
        <v>0</v>
      </c>
      <c r="G279" s="387">
        <v>0</v>
      </c>
      <c r="H279" s="387">
        <f t="shared" si="60"/>
        <v>0</v>
      </c>
      <c r="I279" s="45">
        <f t="shared" si="55"/>
        <v>0</v>
      </c>
      <c r="J279" s="333" t="str">
        <f t="shared" si="56"/>
        <v/>
      </c>
      <c r="K279" s="398">
        <f t="shared" si="61"/>
        <v>0</v>
      </c>
      <c r="L279" s="49"/>
      <c r="M279" s="476"/>
      <c r="N279" s="476"/>
      <c r="O279" s="476"/>
      <c r="P279" s="476"/>
      <c r="Q279" s="476"/>
      <c r="R279" s="476"/>
      <c r="S279" s="476"/>
      <c r="T279" s="476"/>
      <c r="U279" s="476"/>
      <c r="V279" s="476"/>
      <c r="W279" s="476"/>
    </row>
    <row r="280" spans="1:23" ht="11.25" customHeight="1" x14ac:dyDescent="0.2">
      <c r="A280" s="410" t="str">
        <f>'Org structure'!E106</f>
        <v>10.5 - Transport Services (Public Transport Regulation and Moitoring)</v>
      </c>
      <c r="B280" s="448"/>
      <c r="C280" s="397">
        <v>0</v>
      </c>
      <c r="D280" s="386">
        <v>0</v>
      </c>
      <c r="E280" s="387">
        <v>0</v>
      </c>
      <c r="F280" s="387">
        <v>0</v>
      </c>
      <c r="G280" s="387">
        <v>0</v>
      </c>
      <c r="H280" s="387">
        <f t="shared" si="60"/>
        <v>0</v>
      </c>
      <c r="I280" s="45">
        <f t="shared" si="55"/>
        <v>0</v>
      </c>
      <c r="J280" s="333" t="str">
        <f t="shared" si="56"/>
        <v/>
      </c>
      <c r="K280" s="398">
        <f t="shared" si="61"/>
        <v>0</v>
      </c>
      <c r="L280" s="49"/>
      <c r="M280" s="476"/>
      <c r="N280" s="476"/>
      <c r="O280" s="476"/>
      <c r="P280" s="476"/>
      <c r="Q280" s="476"/>
      <c r="R280" s="476"/>
      <c r="S280" s="476"/>
      <c r="T280" s="476"/>
      <c r="U280" s="476"/>
      <c r="V280" s="476"/>
      <c r="W280" s="476"/>
    </row>
    <row r="281" spans="1:23" ht="11.25" customHeight="1" x14ac:dyDescent="0.2">
      <c r="A281" s="410" t="str">
        <f>'Org structure'!E107</f>
        <v>10.6 - Roads and Stormwater (administration)</v>
      </c>
      <c r="B281" s="448"/>
      <c r="C281" s="397">
        <v>0</v>
      </c>
      <c r="D281" s="386">
        <v>0</v>
      </c>
      <c r="E281" s="387">
        <v>0</v>
      </c>
      <c r="F281" s="387">
        <v>0</v>
      </c>
      <c r="G281" s="387">
        <v>0</v>
      </c>
      <c r="H281" s="387">
        <f t="shared" si="60"/>
        <v>0</v>
      </c>
      <c r="I281" s="45">
        <f t="shared" si="55"/>
        <v>0</v>
      </c>
      <c r="J281" s="333" t="str">
        <f t="shared" si="56"/>
        <v/>
      </c>
      <c r="K281" s="398">
        <f t="shared" si="61"/>
        <v>0</v>
      </c>
      <c r="L281" s="49"/>
      <c r="M281" s="476"/>
      <c r="N281" s="476"/>
      <c r="O281" s="476"/>
      <c r="P281" s="476"/>
      <c r="Q281" s="476"/>
      <c r="R281" s="476"/>
      <c r="S281" s="476"/>
      <c r="T281" s="476"/>
      <c r="U281" s="476"/>
      <c r="V281" s="476"/>
      <c r="W281" s="476"/>
    </row>
    <row r="282" spans="1:23" ht="11.25" customHeight="1" x14ac:dyDescent="0.2">
      <c r="A282" s="410" t="str">
        <f>'Org structure'!E108</f>
        <v>10.7 - Storm Water Management and Traffic engineering</v>
      </c>
      <c r="B282" s="448"/>
      <c r="C282" s="397">
        <v>0</v>
      </c>
      <c r="D282" s="386">
        <v>0</v>
      </c>
      <c r="E282" s="387">
        <v>0</v>
      </c>
      <c r="F282" s="387">
        <v>0</v>
      </c>
      <c r="G282" s="387">
        <v>0</v>
      </c>
      <c r="H282" s="387">
        <f t="shared" si="60"/>
        <v>0</v>
      </c>
      <c r="I282" s="45">
        <f t="shared" si="55"/>
        <v>0</v>
      </c>
      <c r="J282" s="333" t="str">
        <f t="shared" si="56"/>
        <v/>
      </c>
      <c r="K282" s="398">
        <f t="shared" si="61"/>
        <v>0</v>
      </c>
      <c r="L282" s="49"/>
      <c r="M282" s="476"/>
      <c r="N282" s="476"/>
      <c r="O282" s="476"/>
      <c r="P282" s="476"/>
      <c r="Q282" s="476"/>
      <c r="R282" s="476"/>
      <c r="S282" s="476"/>
      <c r="T282" s="476"/>
      <c r="U282" s="476"/>
      <c r="V282" s="476"/>
      <c r="W282" s="476"/>
    </row>
    <row r="283" spans="1:23" ht="11.25" customHeight="1" x14ac:dyDescent="0.2">
      <c r="A283" s="410" t="str">
        <f>'Org structure'!E109</f>
        <v>10.8 - Roads and Stormwater (Roads and Streets)</v>
      </c>
      <c r="B283" s="448"/>
      <c r="C283" s="397">
        <v>0</v>
      </c>
      <c r="D283" s="386">
        <v>0</v>
      </c>
      <c r="E283" s="387">
        <v>0</v>
      </c>
      <c r="F283" s="387">
        <v>0</v>
      </c>
      <c r="G283" s="387">
        <v>0</v>
      </c>
      <c r="H283" s="387">
        <f t="shared" si="60"/>
        <v>0</v>
      </c>
      <c r="I283" s="45">
        <f t="shared" si="55"/>
        <v>0</v>
      </c>
      <c r="J283" s="333" t="str">
        <f t="shared" si="56"/>
        <v/>
      </c>
      <c r="K283" s="398">
        <f t="shared" si="61"/>
        <v>0</v>
      </c>
      <c r="L283" s="49"/>
      <c r="M283" s="476"/>
      <c r="N283" s="476"/>
      <c r="O283" s="476"/>
      <c r="P283" s="476"/>
      <c r="Q283" s="476"/>
      <c r="R283" s="476"/>
      <c r="S283" s="476"/>
      <c r="T283" s="476"/>
      <c r="U283" s="476"/>
      <c r="V283" s="476"/>
      <c r="W283" s="476"/>
    </row>
    <row r="284" spans="1:23" ht="11.25" customHeight="1" x14ac:dyDescent="0.2">
      <c r="A284" s="410" t="str">
        <f>'Org structure'!E110</f>
        <v>10.9 - Roads and Stormwater (Stormwater)</v>
      </c>
      <c r="B284" s="448"/>
      <c r="C284" s="397">
        <v>0</v>
      </c>
      <c r="D284" s="386">
        <v>0</v>
      </c>
      <c r="E284" s="387">
        <v>0</v>
      </c>
      <c r="F284" s="387">
        <v>0</v>
      </c>
      <c r="G284" s="387">
        <v>0</v>
      </c>
      <c r="H284" s="387">
        <f t="shared" si="60"/>
        <v>0</v>
      </c>
      <c r="I284" s="45">
        <f t="shared" si="55"/>
        <v>0</v>
      </c>
      <c r="J284" s="333" t="str">
        <f t="shared" si="56"/>
        <v/>
      </c>
      <c r="K284" s="398">
        <f t="shared" si="61"/>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v>0</v>
      </c>
      <c r="D285" s="386">
        <v>0</v>
      </c>
      <c r="E285" s="387">
        <v>0</v>
      </c>
      <c r="F285" s="387">
        <v>0</v>
      </c>
      <c r="G285" s="387">
        <v>0</v>
      </c>
      <c r="H285" s="387">
        <f t="shared" si="60"/>
        <v>0</v>
      </c>
      <c r="I285" s="45">
        <f t="shared" si="55"/>
        <v>0</v>
      </c>
      <c r="J285" s="333" t="str">
        <f t="shared" si="56"/>
        <v/>
      </c>
      <c r="K285" s="398">
        <f t="shared" si="61"/>
        <v>0</v>
      </c>
      <c r="L285" s="49"/>
      <c r="M285" s="476"/>
      <c r="N285" s="476"/>
      <c r="O285" s="476"/>
      <c r="P285" s="476"/>
      <c r="Q285" s="476"/>
      <c r="R285" s="476"/>
      <c r="S285" s="476"/>
      <c r="T285" s="476"/>
      <c r="U285" s="476"/>
      <c r="V285" s="476"/>
      <c r="W285" s="476"/>
    </row>
    <row r="286" spans="1:23" ht="11.25" customHeight="1" x14ac:dyDescent="0.2">
      <c r="A286" s="469" t="str">
        <f>'Org structure'!A12</f>
        <v>Vote 11 - Human Settlement</v>
      </c>
      <c r="B286" s="448"/>
      <c r="C286" s="506">
        <f t="shared" ref="C286:K286" si="62">SUM(C287:C296)</f>
        <v>0</v>
      </c>
      <c r="D286" s="447">
        <f t="shared" si="62"/>
        <v>0</v>
      </c>
      <c r="E286" s="444">
        <f t="shared" si="62"/>
        <v>0</v>
      </c>
      <c r="F286" s="446">
        <f t="shared" si="62"/>
        <v>0</v>
      </c>
      <c r="G286" s="444">
        <f t="shared" si="62"/>
        <v>0</v>
      </c>
      <c r="H286" s="446">
        <f t="shared" si="62"/>
        <v>0</v>
      </c>
      <c r="I286" s="45">
        <f t="shared" si="55"/>
        <v>0</v>
      </c>
      <c r="J286" s="333" t="str">
        <f t="shared" si="56"/>
        <v/>
      </c>
      <c r="K286" s="445">
        <f t="shared" si="62"/>
        <v>0</v>
      </c>
      <c r="L286" s="49"/>
      <c r="M286" s="476"/>
      <c r="N286" s="476"/>
      <c r="O286" s="476"/>
      <c r="P286" s="476"/>
      <c r="Q286" s="476"/>
      <c r="R286" s="476"/>
      <c r="S286" s="476"/>
      <c r="T286" s="476"/>
      <c r="U286" s="476"/>
      <c r="V286" s="476"/>
      <c r="W286" s="476"/>
    </row>
    <row r="287" spans="1:23" ht="11.25" customHeight="1" x14ac:dyDescent="0.2">
      <c r="A287" s="410" t="str">
        <f>'Org structure'!E113</f>
        <v>11.1 - Human Settlement</v>
      </c>
      <c r="B287" s="448"/>
      <c r="C287" s="397"/>
      <c r="D287" s="386">
        <v>0</v>
      </c>
      <c r="E287" s="387">
        <v>0</v>
      </c>
      <c r="F287" s="387">
        <v>0</v>
      </c>
      <c r="G287" s="387">
        <v>0</v>
      </c>
      <c r="H287" s="475">
        <v>0</v>
      </c>
      <c r="I287" s="45">
        <f t="shared" si="55"/>
        <v>0</v>
      </c>
      <c r="J287" s="333" t="str">
        <f t="shared" si="56"/>
        <v/>
      </c>
      <c r="K287" s="398">
        <v>0</v>
      </c>
      <c r="L287" s="49"/>
      <c r="M287" s="476"/>
      <c r="N287" s="476"/>
      <c r="O287" s="476"/>
      <c r="P287" s="476"/>
      <c r="Q287" s="476"/>
      <c r="R287" s="476"/>
      <c r="S287" s="476"/>
      <c r="T287" s="476"/>
      <c r="U287" s="476"/>
      <c r="V287" s="476"/>
      <c r="W287" s="476"/>
    </row>
    <row r="288" spans="1:23" ht="11.25" customHeight="1" x14ac:dyDescent="0.2">
      <c r="A288" s="410" t="str">
        <f>'Org structure'!E114</f>
        <v>11.2 - Human Settlement - Housing Adimistration</v>
      </c>
      <c r="B288" s="448"/>
      <c r="C288" s="397"/>
      <c r="D288" s="386">
        <v>0</v>
      </c>
      <c r="E288" s="387">
        <v>0</v>
      </c>
      <c r="F288" s="387">
        <v>0</v>
      </c>
      <c r="G288" s="387">
        <v>0</v>
      </c>
      <c r="H288" s="475">
        <v>0</v>
      </c>
      <c r="I288" s="45">
        <f t="shared" si="55"/>
        <v>0</v>
      </c>
      <c r="J288" s="333" t="str">
        <f t="shared" si="56"/>
        <v/>
      </c>
      <c r="K288" s="398">
        <v>0</v>
      </c>
      <c r="L288" s="49"/>
      <c r="M288" s="476"/>
      <c r="N288" s="476"/>
      <c r="O288" s="476"/>
      <c r="P288" s="476"/>
      <c r="Q288" s="476"/>
      <c r="R288" s="476"/>
      <c r="S288" s="476"/>
      <c r="T288" s="476"/>
      <c r="U288" s="476"/>
      <c r="V288" s="476"/>
      <c r="W288" s="476"/>
    </row>
    <row r="289" spans="1:23" ht="11.25" customHeight="1" x14ac:dyDescent="0.2">
      <c r="A289" s="410" t="str">
        <f>'Org structure'!E115</f>
        <v>11.3 - Human Settlement Rental Hosing and Programme Implemantation</v>
      </c>
      <c r="B289" s="448"/>
      <c r="C289" s="397"/>
      <c r="D289" s="386">
        <v>0</v>
      </c>
      <c r="E289" s="387">
        <v>0</v>
      </c>
      <c r="F289" s="387">
        <v>0</v>
      </c>
      <c r="G289" s="387">
        <v>0</v>
      </c>
      <c r="H289" s="475">
        <v>0</v>
      </c>
      <c r="I289" s="45">
        <f t="shared" si="55"/>
        <v>0</v>
      </c>
      <c r="J289" s="333" t="str">
        <f t="shared" si="56"/>
        <v/>
      </c>
      <c r="K289" s="398">
        <v>0</v>
      </c>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v>0</v>
      </c>
      <c r="E290" s="387">
        <v>0</v>
      </c>
      <c r="F290" s="387">
        <v>0</v>
      </c>
      <c r="G290" s="387">
        <v>0</v>
      </c>
      <c r="H290" s="475">
        <v>0</v>
      </c>
      <c r="I290" s="45">
        <f t="shared" si="55"/>
        <v>0</v>
      </c>
      <c r="J290" s="333" t="str">
        <f t="shared" si="56"/>
        <v/>
      </c>
      <c r="K290" s="398">
        <v>0</v>
      </c>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v>0</v>
      </c>
      <c r="E291" s="387">
        <v>0</v>
      </c>
      <c r="F291" s="387">
        <v>0</v>
      </c>
      <c r="G291" s="387">
        <v>0</v>
      </c>
      <c r="H291" s="475">
        <v>0</v>
      </c>
      <c r="I291" s="45">
        <f t="shared" si="55"/>
        <v>0</v>
      </c>
      <c r="J291" s="333" t="str">
        <f t="shared" si="56"/>
        <v/>
      </c>
      <c r="K291" s="398">
        <v>0</v>
      </c>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v>0</v>
      </c>
      <c r="E292" s="387">
        <v>0</v>
      </c>
      <c r="F292" s="387">
        <v>0</v>
      </c>
      <c r="G292" s="387">
        <v>0</v>
      </c>
      <c r="H292" s="475">
        <v>0</v>
      </c>
      <c r="I292" s="45">
        <f t="shared" si="55"/>
        <v>0</v>
      </c>
      <c r="J292" s="333" t="str">
        <f t="shared" si="56"/>
        <v/>
      </c>
      <c r="K292" s="398">
        <v>0</v>
      </c>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v>0</v>
      </c>
      <c r="E293" s="387">
        <v>0</v>
      </c>
      <c r="F293" s="387">
        <v>0</v>
      </c>
      <c r="G293" s="387">
        <v>0</v>
      </c>
      <c r="H293" s="475">
        <v>0</v>
      </c>
      <c r="I293" s="45">
        <f t="shared" si="55"/>
        <v>0</v>
      </c>
      <c r="J293" s="333" t="str">
        <f t="shared" si="56"/>
        <v/>
      </c>
      <c r="K293" s="398">
        <v>0</v>
      </c>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v>0</v>
      </c>
      <c r="E294" s="387">
        <v>0</v>
      </c>
      <c r="F294" s="387">
        <v>0</v>
      </c>
      <c r="G294" s="387">
        <v>0</v>
      </c>
      <c r="H294" s="475">
        <v>0</v>
      </c>
      <c r="I294" s="45">
        <f t="shared" si="55"/>
        <v>0</v>
      </c>
      <c r="J294" s="333" t="str">
        <f t="shared" si="56"/>
        <v/>
      </c>
      <c r="K294" s="398">
        <v>0</v>
      </c>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v>0</v>
      </c>
      <c r="E295" s="387">
        <v>0</v>
      </c>
      <c r="F295" s="387">
        <v>0</v>
      </c>
      <c r="G295" s="387">
        <v>0</v>
      </c>
      <c r="H295" s="475">
        <v>0</v>
      </c>
      <c r="I295" s="45">
        <f t="shared" si="55"/>
        <v>0</v>
      </c>
      <c r="J295" s="333" t="str">
        <f t="shared" si="56"/>
        <v/>
      </c>
      <c r="K295" s="398">
        <v>0</v>
      </c>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v>0</v>
      </c>
      <c r="E296" s="387">
        <v>0</v>
      </c>
      <c r="F296" s="387">
        <v>0</v>
      </c>
      <c r="G296" s="387">
        <v>0</v>
      </c>
      <c r="H296" s="475">
        <v>0</v>
      </c>
      <c r="I296" s="45">
        <f t="shared" si="55"/>
        <v>0</v>
      </c>
      <c r="J296" s="333" t="str">
        <f t="shared" si="56"/>
        <v/>
      </c>
      <c r="K296" s="398">
        <v>0</v>
      </c>
      <c r="L296" s="49"/>
      <c r="M296" s="476"/>
      <c r="N296" s="476"/>
      <c r="O296" s="476"/>
      <c r="P296" s="476"/>
      <c r="Q296" s="476"/>
      <c r="R296" s="476"/>
      <c r="S296" s="476"/>
      <c r="T296" s="476"/>
      <c r="U296" s="476"/>
      <c r="V296" s="476"/>
      <c r="W296" s="476"/>
    </row>
    <row r="297" spans="1:23" ht="11.25" customHeight="1" x14ac:dyDescent="0.2">
      <c r="A297" s="469" t="str">
        <f>'Org structure'!A13</f>
        <v xml:space="preserve">Vote 12 - </v>
      </c>
      <c r="B297" s="448"/>
      <c r="C297" s="506">
        <f t="shared" ref="C297:K297" si="63">SUM(C298:C307)</f>
        <v>0</v>
      </c>
      <c r="D297" s="447">
        <f t="shared" si="63"/>
        <v>0</v>
      </c>
      <c r="E297" s="444">
        <f t="shared" si="63"/>
        <v>0</v>
      </c>
      <c r="F297" s="446">
        <f t="shared" si="63"/>
        <v>0</v>
      </c>
      <c r="G297" s="444">
        <f t="shared" si="63"/>
        <v>0</v>
      </c>
      <c r="H297" s="446">
        <f t="shared" si="63"/>
        <v>0</v>
      </c>
      <c r="I297" s="45">
        <f t="shared" si="55"/>
        <v>0</v>
      </c>
      <c r="J297" s="333" t="str">
        <f t="shared" si="56"/>
        <v/>
      </c>
      <c r="K297" s="445">
        <f t="shared" si="63"/>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v>0</v>
      </c>
      <c r="E298" s="387">
        <v>0</v>
      </c>
      <c r="F298" s="387">
        <v>0</v>
      </c>
      <c r="G298" s="387">
        <v>0</v>
      </c>
      <c r="H298" s="387">
        <v>0</v>
      </c>
      <c r="I298" s="45">
        <f t="shared" si="55"/>
        <v>0</v>
      </c>
      <c r="J298" s="333" t="str">
        <f t="shared" si="56"/>
        <v/>
      </c>
      <c r="K298" s="398">
        <v>0</v>
      </c>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v>0</v>
      </c>
      <c r="E299" s="387">
        <v>0</v>
      </c>
      <c r="F299" s="387">
        <v>0</v>
      </c>
      <c r="G299" s="387">
        <v>0</v>
      </c>
      <c r="H299" s="387">
        <v>0</v>
      </c>
      <c r="I299" s="45">
        <f t="shared" si="55"/>
        <v>0</v>
      </c>
      <c r="J299" s="333" t="str">
        <f t="shared" si="56"/>
        <v/>
      </c>
      <c r="K299" s="398">
        <v>0</v>
      </c>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v>0</v>
      </c>
      <c r="E300" s="387">
        <v>0</v>
      </c>
      <c r="F300" s="387">
        <v>0</v>
      </c>
      <c r="G300" s="387">
        <v>0</v>
      </c>
      <c r="H300" s="387">
        <v>0</v>
      </c>
      <c r="I300" s="45">
        <f t="shared" si="55"/>
        <v>0</v>
      </c>
      <c r="J300" s="333" t="str">
        <f t="shared" si="56"/>
        <v/>
      </c>
      <c r="K300" s="398">
        <v>0</v>
      </c>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v>0</v>
      </c>
      <c r="E301" s="387">
        <v>0</v>
      </c>
      <c r="F301" s="387">
        <v>0</v>
      </c>
      <c r="G301" s="387">
        <v>0</v>
      </c>
      <c r="H301" s="387">
        <v>0</v>
      </c>
      <c r="I301" s="45">
        <f t="shared" si="55"/>
        <v>0</v>
      </c>
      <c r="J301" s="333" t="str">
        <f t="shared" si="56"/>
        <v/>
      </c>
      <c r="K301" s="398">
        <v>0</v>
      </c>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v>0</v>
      </c>
      <c r="E302" s="387">
        <v>0</v>
      </c>
      <c r="F302" s="387">
        <v>0</v>
      </c>
      <c r="G302" s="387">
        <v>0</v>
      </c>
      <c r="H302" s="387">
        <v>0</v>
      </c>
      <c r="I302" s="45">
        <f t="shared" si="55"/>
        <v>0</v>
      </c>
      <c r="J302" s="333" t="str">
        <f t="shared" si="56"/>
        <v/>
      </c>
      <c r="K302" s="398">
        <v>0</v>
      </c>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v>0</v>
      </c>
      <c r="E303" s="387">
        <v>0</v>
      </c>
      <c r="F303" s="387">
        <v>0</v>
      </c>
      <c r="G303" s="387">
        <v>0</v>
      </c>
      <c r="H303" s="387">
        <v>0</v>
      </c>
      <c r="I303" s="45">
        <f t="shared" si="55"/>
        <v>0</v>
      </c>
      <c r="J303" s="333" t="str">
        <f t="shared" si="56"/>
        <v/>
      </c>
      <c r="K303" s="398">
        <v>0</v>
      </c>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v>0</v>
      </c>
      <c r="E304" s="387">
        <v>0</v>
      </c>
      <c r="F304" s="387">
        <v>0</v>
      </c>
      <c r="G304" s="387">
        <v>0</v>
      </c>
      <c r="H304" s="387">
        <v>0</v>
      </c>
      <c r="I304" s="45">
        <f t="shared" si="55"/>
        <v>0</v>
      </c>
      <c r="J304" s="333" t="str">
        <f t="shared" si="56"/>
        <v/>
      </c>
      <c r="K304" s="398">
        <v>0</v>
      </c>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v>0</v>
      </c>
      <c r="E305" s="387">
        <v>0</v>
      </c>
      <c r="F305" s="387">
        <v>0</v>
      </c>
      <c r="G305" s="387">
        <v>0</v>
      </c>
      <c r="H305" s="387">
        <v>0</v>
      </c>
      <c r="I305" s="45">
        <f t="shared" si="55"/>
        <v>0</v>
      </c>
      <c r="J305" s="333" t="str">
        <f t="shared" si="56"/>
        <v/>
      </c>
      <c r="K305" s="398">
        <v>0</v>
      </c>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v>0</v>
      </c>
      <c r="E306" s="387">
        <v>0</v>
      </c>
      <c r="F306" s="387">
        <v>0</v>
      </c>
      <c r="G306" s="387">
        <v>0</v>
      </c>
      <c r="H306" s="387">
        <v>0</v>
      </c>
      <c r="I306" s="45">
        <f t="shared" si="55"/>
        <v>0</v>
      </c>
      <c r="J306" s="333" t="str">
        <f t="shared" si="56"/>
        <v/>
      </c>
      <c r="K306" s="398">
        <v>0</v>
      </c>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v>0</v>
      </c>
      <c r="E307" s="387">
        <v>0</v>
      </c>
      <c r="F307" s="387">
        <v>0</v>
      </c>
      <c r="G307" s="387">
        <v>0</v>
      </c>
      <c r="H307" s="387">
        <v>0</v>
      </c>
      <c r="I307" s="45">
        <f t="shared" si="55"/>
        <v>0</v>
      </c>
      <c r="J307" s="333" t="str">
        <f t="shared" si="56"/>
        <v/>
      </c>
      <c r="K307" s="398">
        <v>0</v>
      </c>
      <c r="L307" s="49"/>
      <c r="M307" s="476"/>
      <c r="N307" s="476"/>
      <c r="O307" s="476"/>
      <c r="P307" s="476"/>
      <c r="Q307" s="476"/>
      <c r="R307" s="476"/>
      <c r="S307" s="476"/>
      <c r="T307" s="476"/>
      <c r="U307" s="476"/>
      <c r="V307" s="476"/>
      <c r="W307" s="476"/>
    </row>
    <row r="308" spans="1:23" ht="11.25" customHeight="1" x14ac:dyDescent="0.2">
      <c r="A308" s="469" t="str">
        <f>'Org structure'!A14</f>
        <v xml:space="preserve">Vote 13 - </v>
      </c>
      <c r="B308" s="448"/>
      <c r="C308" s="506">
        <f t="shared" ref="C308:K308" si="64">SUM(C309:C318)</f>
        <v>0</v>
      </c>
      <c r="D308" s="447">
        <f t="shared" si="64"/>
        <v>0</v>
      </c>
      <c r="E308" s="444">
        <f t="shared" si="64"/>
        <v>0</v>
      </c>
      <c r="F308" s="446">
        <f t="shared" si="64"/>
        <v>0</v>
      </c>
      <c r="G308" s="444">
        <f t="shared" si="64"/>
        <v>0</v>
      </c>
      <c r="H308" s="446">
        <f t="shared" si="64"/>
        <v>0</v>
      </c>
      <c r="I308" s="45">
        <f t="shared" si="55"/>
        <v>0</v>
      </c>
      <c r="J308" s="333" t="str">
        <f t="shared" si="56"/>
        <v/>
      </c>
      <c r="K308" s="445">
        <f t="shared" si="64"/>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v>0</v>
      </c>
      <c r="E309" s="387">
        <v>0</v>
      </c>
      <c r="F309" s="475">
        <v>0</v>
      </c>
      <c r="G309" s="387">
        <v>0</v>
      </c>
      <c r="H309" s="475">
        <v>0</v>
      </c>
      <c r="I309" s="45">
        <f t="shared" si="55"/>
        <v>0</v>
      </c>
      <c r="J309" s="333" t="str">
        <f t="shared" si="56"/>
        <v/>
      </c>
      <c r="K309" s="398">
        <v>0</v>
      </c>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v>0</v>
      </c>
      <c r="E310" s="387">
        <v>0</v>
      </c>
      <c r="F310" s="475">
        <v>0</v>
      </c>
      <c r="G310" s="387">
        <v>0</v>
      </c>
      <c r="H310" s="475">
        <v>0</v>
      </c>
      <c r="I310" s="45">
        <f t="shared" si="55"/>
        <v>0</v>
      </c>
      <c r="J310" s="333" t="str">
        <f t="shared" si="56"/>
        <v/>
      </c>
      <c r="K310" s="398">
        <v>0</v>
      </c>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v>0</v>
      </c>
      <c r="E311" s="387">
        <v>0</v>
      </c>
      <c r="F311" s="475">
        <v>0</v>
      </c>
      <c r="G311" s="387">
        <v>0</v>
      </c>
      <c r="H311" s="475">
        <v>0</v>
      </c>
      <c r="I311" s="45">
        <f t="shared" si="55"/>
        <v>0</v>
      </c>
      <c r="J311" s="333" t="str">
        <f t="shared" si="56"/>
        <v/>
      </c>
      <c r="K311" s="398">
        <v>0</v>
      </c>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v>0</v>
      </c>
      <c r="E312" s="387">
        <v>0</v>
      </c>
      <c r="F312" s="475">
        <v>0</v>
      </c>
      <c r="G312" s="387">
        <v>0</v>
      </c>
      <c r="H312" s="475">
        <v>0</v>
      </c>
      <c r="I312" s="45">
        <f t="shared" si="55"/>
        <v>0</v>
      </c>
      <c r="J312" s="333" t="str">
        <f t="shared" si="56"/>
        <v/>
      </c>
      <c r="K312" s="398">
        <v>0</v>
      </c>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v>0</v>
      </c>
      <c r="E313" s="387">
        <v>0</v>
      </c>
      <c r="F313" s="475">
        <v>0</v>
      </c>
      <c r="G313" s="387">
        <v>0</v>
      </c>
      <c r="H313" s="475">
        <v>0</v>
      </c>
      <c r="I313" s="45">
        <f t="shared" si="55"/>
        <v>0</v>
      </c>
      <c r="J313" s="333" t="str">
        <f t="shared" si="56"/>
        <v/>
      </c>
      <c r="K313" s="398">
        <v>0</v>
      </c>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v>0</v>
      </c>
      <c r="E314" s="387">
        <v>0</v>
      </c>
      <c r="F314" s="475">
        <v>0</v>
      </c>
      <c r="G314" s="387">
        <v>0</v>
      </c>
      <c r="H314" s="475">
        <v>0</v>
      </c>
      <c r="I314" s="45">
        <f t="shared" si="55"/>
        <v>0</v>
      </c>
      <c r="J314" s="333" t="str">
        <f t="shared" si="56"/>
        <v/>
      </c>
      <c r="K314" s="398">
        <v>0</v>
      </c>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v>0</v>
      </c>
      <c r="E315" s="387">
        <v>0</v>
      </c>
      <c r="F315" s="475">
        <v>0</v>
      </c>
      <c r="G315" s="387">
        <v>0</v>
      </c>
      <c r="H315" s="475">
        <v>0</v>
      </c>
      <c r="I315" s="45">
        <f t="shared" si="55"/>
        <v>0</v>
      </c>
      <c r="J315" s="333" t="str">
        <f t="shared" si="56"/>
        <v/>
      </c>
      <c r="K315" s="398">
        <v>0</v>
      </c>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v>0</v>
      </c>
      <c r="E316" s="387">
        <v>0</v>
      </c>
      <c r="F316" s="475">
        <v>0</v>
      </c>
      <c r="G316" s="387">
        <v>0</v>
      </c>
      <c r="H316" s="475">
        <v>0</v>
      </c>
      <c r="I316" s="45">
        <f t="shared" si="55"/>
        <v>0</v>
      </c>
      <c r="J316" s="333" t="str">
        <f t="shared" si="56"/>
        <v/>
      </c>
      <c r="K316" s="398">
        <v>0</v>
      </c>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v>0</v>
      </c>
      <c r="E317" s="387">
        <v>0</v>
      </c>
      <c r="F317" s="475">
        <v>0</v>
      </c>
      <c r="G317" s="387">
        <v>0</v>
      </c>
      <c r="H317" s="475">
        <v>0</v>
      </c>
      <c r="I317" s="45">
        <f t="shared" si="55"/>
        <v>0</v>
      </c>
      <c r="J317" s="333" t="str">
        <f t="shared" si="56"/>
        <v/>
      </c>
      <c r="K317" s="398">
        <v>0</v>
      </c>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v>0</v>
      </c>
      <c r="E318" s="387">
        <v>0</v>
      </c>
      <c r="F318" s="475">
        <v>0</v>
      </c>
      <c r="G318" s="387">
        <v>0</v>
      </c>
      <c r="H318" s="475">
        <v>0</v>
      </c>
      <c r="I318" s="45">
        <f t="shared" si="55"/>
        <v>0</v>
      </c>
      <c r="J318" s="333" t="str">
        <f t="shared" si="56"/>
        <v/>
      </c>
      <c r="K318" s="398">
        <v>0</v>
      </c>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65">SUM(C320:C329)</f>
        <v>0</v>
      </c>
      <c r="D319" s="447">
        <f t="shared" si="65"/>
        <v>0</v>
      </c>
      <c r="E319" s="444">
        <f t="shared" si="65"/>
        <v>0</v>
      </c>
      <c r="F319" s="446">
        <f t="shared" si="65"/>
        <v>0</v>
      </c>
      <c r="G319" s="444">
        <f t="shared" si="65"/>
        <v>0</v>
      </c>
      <c r="H319" s="446">
        <f t="shared" si="65"/>
        <v>0</v>
      </c>
      <c r="I319" s="45">
        <f t="shared" si="55"/>
        <v>0</v>
      </c>
      <c r="J319" s="333" t="str">
        <f t="shared" si="56"/>
        <v/>
      </c>
      <c r="K319" s="445">
        <f t="shared" si="65"/>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v>0</v>
      </c>
      <c r="E320" s="387">
        <v>0</v>
      </c>
      <c r="F320" s="475">
        <v>0</v>
      </c>
      <c r="G320" s="387">
        <v>0</v>
      </c>
      <c r="H320" s="475">
        <v>0</v>
      </c>
      <c r="I320" s="45">
        <f t="shared" si="55"/>
        <v>0</v>
      </c>
      <c r="J320" s="333" t="str">
        <f t="shared" si="56"/>
        <v/>
      </c>
      <c r="K320" s="398">
        <v>0</v>
      </c>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v>0</v>
      </c>
      <c r="E321" s="387">
        <v>0</v>
      </c>
      <c r="F321" s="475">
        <v>0</v>
      </c>
      <c r="G321" s="387">
        <v>0</v>
      </c>
      <c r="H321" s="475">
        <v>0</v>
      </c>
      <c r="I321" s="45">
        <f t="shared" si="55"/>
        <v>0</v>
      </c>
      <c r="J321" s="333" t="str">
        <f t="shared" si="56"/>
        <v/>
      </c>
      <c r="K321" s="398">
        <v>0</v>
      </c>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v>0</v>
      </c>
      <c r="E322" s="387">
        <v>0</v>
      </c>
      <c r="F322" s="475">
        <v>0</v>
      </c>
      <c r="G322" s="387">
        <v>0</v>
      </c>
      <c r="H322" s="475">
        <v>0</v>
      </c>
      <c r="I322" s="45">
        <f t="shared" si="55"/>
        <v>0</v>
      </c>
      <c r="J322" s="333" t="str">
        <f t="shared" si="56"/>
        <v/>
      </c>
      <c r="K322" s="398">
        <v>0</v>
      </c>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v>0</v>
      </c>
      <c r="E323" s="387">
        <v>0</v>
      </c>
      <c r="F323" s="475">
        <v>0</v>
      </c>
      <c r="G323" s="387">
        <v>0</v>
      </c>
      <c r="H323" s="475">
        <v>0</v>
      </c>
      <c r="I323" s="45">
        <f t="shared" si="55"/>
        <v>0</v>
      </c>
      <c r="J323" s="333" t="str">
        <f t="shared" si="56"/>
        <v/>
      </c>
      <c r="K323" s="398">
        <v>0</v>
      </c>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v>0</v>
      </c>
      <c r="E324" s="387">
        <v>0</v>
      </c>
      <c r="F324" s="475">
        <v>0</v>
      </c>
      <c r="G324" s="387">
        <v>0</v>
      </c>
      <c r="H324" s="475">
        <v>0</v>
      </c>
      <c r="I324" s="45">
        <f t="shared" si="55"/>
        <v>0</v>
      </c>
      <c r="J324" s="333" t="str">
        <f t="shared" si="56"/>
        <v/>
      </c>
      <c r="K324" s="398">
        <v>0</v>
      </c>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v>0</v>
      </c>
      <c r="E325" s="387">
        <v>0</v>
      </c>
      <c r="F325" s="475">
        <v>0</v>
      </c>
      <c r="G325" s="387">
        <v>0</v>
      </c>
      <c r="H325" s="475">
        <v>0</v>
      </c>
      <c r="I325" s="45">
        <f t="shared" si="55"/>
        <v>0</v>
      </c>
      <c r="J325" s="333" t="str">
        <f t="shared" si="56"/>
        <v/>
      </c>
      <c r="K325" s="398">
        <v>0</v>
      </c>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v>0</v>
      </c>
      <c r="E326" s="387">
        <v>0</v>
      </c>
      <c r="F326" s="475">
        <v>0</v>
      </c>
      <c r="G326" s="387">
        <v>0</v>
      </c>
      <c r="H326" s="475">
        <v>0</v>
      </c>
      <c r="I326" s="45">
        <f t="shared" si="55"/>
        <v>0</v>
      </c>
      <c r="J326" s="333" t="str">
        <f t="shared" si="56"/>
        <v/>
      </c>
      <c r="K326" s="398">
        <v>0</v>
      </c>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v>0</v>
      </c>
      <c r="E327" s="387">
        <v>0</v>
      </c>
      <c r="F327" s="475">
        <v>0</v>
      </c>
      <c r="G327" s="387">
        <v>0</v>
      </c>
      <c r="H327" s="475">
        <v>0</v>
      </c>
      <c r="I327" s="45">
        <f t="shared" si="55"/>
        <v>0</v>
      </c>
      <c r="J327" s="333" t="str">
        <f t="shared" si="56"/>
        <v/>
      </c>
      <c r="K327" s="398">
        <v>0</v>
      </c>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v>0</v>
      </c>
      <c r="E328" s="387">
        <v>0</v>
      </c>
      <c r="F328" s="475">
        <v>0</v>
      </c>
      <c r="G328" s="387">
        <v>0</v>
      </c>
      <c r="H328" s="475">
        <v>0</v>
      </c>
      <c r="I328" s="45">
        <f t="shared" ref="I328:I343" si="66">G328-H328</f>
        <v>0</v>
      </c>
      <c r="J328" s="333" t="str">
        <f t="shared" ref="J328:J343" si="67">IF(I328=0,"",I328/H328)</f>
        <v/>
      </c>
      <c r="K328" s="398">
        <v>0</v>
      </c>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v>0</v>
      </c>
      <c r="E329" s="387">
        <v>0</v>
      </c>
      <c r="F329" s="475">
        <v>0</v>
      </c>
      <c r="G329" s="387">
        <v>0</v>
      </c>
      <c r="H329" s="475">
        <v>0</v>
      </c>
      <c r="I329" s="45">
        <f t="shared" si="66"/>
        <v>0</v>
      </c>
      <c r="J329" s="333" t="str">
        <f t="shared" si="67"/>
        <v/>
      </c>
      <c r="K329" s="398">
        <v>0</v>
      </c>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68">SUM(C331:C340)</f>
        <v>0</v>
      </c>
      <c r="D330" s="447">
        <f t="shared" si="68"/>
        <v>0</v>
      </c>
      <c r="E330" s="444">
        <f t="shared" si="68"/>
        <v>0</v>
      </c>
      <c r="F330" s="446">
        <f t="shared" si="68"/>
        <v>0</v>
      </c>
      <c r="G330" s="444">
        <f t="shared" si="68"/>
        <v>0</v>
      </c>
      <c r="H330" s="446">
        <f t="shared" si="68"/>
        <v>0</v>
      </c>
      <c r="I330" s="45">
        <f t="shared" si="66"/>
        <v>0</v>
      </c>
      <c r="J330" s="333" t="str">
        <f t="shared" si="67"/>
        <v/>
      </c>
      <c r="K330" s="445">
        <f t="shared" si="68"/>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v>0</v>
      </c>
      <c r="D331" s="386">
        <v>0</v>
      </c>
      <c r="E331" s="387">
        <v>0</v>
      </c>
      <c r="F331" s="475">
        <v>0</v>
      </c>
      <c r="G331" s="387">
        <v>0</v>
      </c>
      <c r="H331" s="475">
        <v>0</v>
      </c>
      <c r="I331" s="45">
        <f t="shared" si="66"/>
        <v>0</v>
      </c>
      <c r="J331" s="333" t="str">
        <f t="shared" si="67"/>
        <v/>
      </c>
      <c r="K331" s="398">
        <v>0</v>
      </c>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v>0</v>
      </c>
      <c r="D332" s="386">
        <v>0</v>
      </c>
      <c r="E332" s="387">
        <v>0</v>
      </c>
      <c r="F332" s="475">
        <v>0</v>
      </c>
      <c r="G332" s="387">
        <v>0</v>
      </c>
      <c r="H332" s="475">
        <v>0</v>
      </c>
      <c r="I332" s="45">
        <f t="shared" si="66"/>
        <v>0</v>
      </c>
      <c r="J332" s="333" t="str">
        <f t="shared" si="67"/>
        <v/>
      </c>
      <c r="K332" s="398">
        <v>0</v>
      </c>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v>0</v>
      </c>
      <c r="D333" s="386">
        <v>0</v>
      </c>
      <c r="E333" s="387">
        <v>0</v>
      </c>
      <c r="F333" s="475">
        <v>0</v>
      </c>
      <c r="G333" s="387">
        <v>0</v>
      </c>
      <c r="H333" s="475">
        <v>0</v>
      </c>
      <c r="I333" s="45">
        <f t="shared" si="66"/>
        <v>0</v>
      </c>
      <c r="J333" s="333" t="str">
        <f t="shared" si="67"/>
        <v/>
      </c>
      <c r="K333" s="398">
        <v>0</v>
      </c>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v>0</v>
      </c>
      <c r="D334" s="386">
        <v>0</v>
      </c>
      <c r="E334" s="387">
        <v>0</v>
      </c>
      <c r="F334" s="475">
        <v>0</v>
      </c>
      <c r="G334" s="387">
        <v>0</v>
      </c>
      <c r="H334" s="475">
        <v>0</v>
      </c>
      <c r="I334" s="45">
        <f t="shared" si="66"/>
        <v>0</v>
      </c>
      <c r="J334" s="333" t="str">
        <f t="shared" si="67"/>
        <v/>
      </c>
      <c r="K334" s="398">
        <v>0</v>
      </c>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v>0</v>
      </c>
      <c r="D335" s="386">
        <v>0</v>
      </c>
      <c r="E335" s="387">
        <v>0</v>
      </c>
      <c r="F335" s="475">
        <v>0</v>
      </c>
      <c r="G335" s="387">
        <v>0</v>
      </c>
      <c r="H335" s="475">
        <v>0</v>
      </c>
      <c r="I335" s="45">
        <f t="shared" si="66"/>
        <v>0</v>
      </c>
      <c r="J335" s="333" t="str">
        <f t="shared" si="67"/>
        <v/>
      </c>
      <c r="K335" s="398">
        <v>0</v>
      </c>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v>0</v>
      </c>
      <c r="D336" s="386">
        <v>0</v>
      </c>
      <c r="E336" s="387">
        <v>0</v>
      </c>
      <c r="F336" s="475">
        <v>0</v>
      </c>
      <c r="G336" s="387">
        <v>0</v>
      </c>
      <c r="H336" s="475">
        <v>0</v>
      </c>
      <c r="I336" s="45">
        <f t="shared" si="66"/>
        <v>0</v>
      </c>
      <c r="J336" s="333" t="str">
        <f t="shared" si="67"/>
        <v/>
      </c>
      <c r="K336" s="398">
        <v>0</v>
      </c>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v>0</v>
      </c>
      <c r="D337" s="386">
        <v>0</v>
      </c>
      <c r="E337" s="387">
        <v>0</v>
      </c>
      <c r="F337" s="475">
        <v>0</v>
      </c>
      <c r="G337" s="387">
        <v>0</v>
      </c>
      <c r="H337" s="475">
        <v>0</v>
      </c>
      <c r="I337" s="45">
        <f t="shared" si="66"/>
        <v>0</v>
      </c>
      <c r="J337" s="333" t="str">
        <f t="shared" si="67"/>
        <v/>
      </c>
      <c r="K337" s="398">
        <v>0</v>
      </c>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v>0</v>
      </c>
      <c r="D338" s="386">
        <v>0</v>
      </c>
      <c r="E338" s="387">
        <v>0</v>
      </c>
      <c r="F338" s="475">
        <v>0</v>
      </c>
      <c r="G338" s="387">
        <v>0</v>
      </c>
      <c r="H338" s="475">
        <v>0</v>
      </c>
      <c r="I338" s="45">
        <f t="shared" si="66"/>
        <v>0</v>
      </c>
      <c r="J338" s="333" t="str">
        <f t="shared" si="67"/>
        <v/>
      </c>
      <c r="K338" s="981">
        <v>0</v>
      </c>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v>0</v>
      </c>
      <c r="D339" s="386">
        <v>0</v>
      </c>
      <c r="E339" s="387">
        <v>0</v>
      </c>
      <c r="F339" s="475">
        <v>0</v>
      </c>
      <c r="G339" s="387">
        <v>0</v>
      </c>
      <c r="H339" s="475">
        <v>0</v>
      </c>
      <c r="I339" s="45">
        <f t="shared" si="66"/>
        <v>0</v>
      </c>
      <c r="J339" s="333" t="str">
        <f t="shared" si="67"/>
        <v/>
      </c>
      <c r="K339" s="398">
        <v>0</v>
      </c>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v>0</v>
      </c>
      <c r="D340" s="386">
        <v>0</v>
      </c>
      <c r="E340" s="387">
        <v>0</v>
      </c>
      <c r="F340" s="475">
        <v>0</v>
      </c>
      <c r="G340" s="387">
        <v>0</v>
      </c>
      <c r="H340" s="475">
        <v>0</v>
      </c>
      <c r="I340" s="45">
        <f t="shared" si="66"/>
        <v>0</v>
      </c>
      <c r="J340" s="333" t="str">
        <f t="shared" si="67"/>
        <v/>
      </c>
      <c r="K340" s="981"/>
      <c r="L340" s="455">
        <f t="shared" ref="L340:W340" si="69">SUM(L175:L251)</f>
        <v>0</v>
      </c>
      <c r="M340" s="456">
        <f t="shared" si="69"/>
        <v>0</v>
      </c>
      <c r="N340" s="456">
        <f t="shared" si="69"/>
        <v>0</v>
      </c>
      <c r="O340" s="456">
        <f t="shared" si="69"/>
        <v>0</v>
      </c>
      <c r="P340" s="456">
        <f t="shared" si="69"/>
        <v>0</v>
      </c>
      <c r="Q340" s="456">
        <f t="shared" si="69"/>
        <v>0</v>
      </c>
      <c r="R340" s="456">
        <f t="shared" si="69"/>
        <v>0</v>
      </c>
      <c r="S340" s="456">
        <f t="shared" si="69"/>
        <v>0</v>
      </c>
      <c r="T340" s="456">
        <f t="shared" si="69"/>
        <v>0</v>
      </c>
      <c r="U340" s="456">
        <f t="shared" si="69"/>
        <v>0</v>
      </c>
      <c r="V340" s="456">
        <f t="shared" si="69"/>
        <v>0</v>
      </c>
      <c r="W340" s="456">
        <f t="shared" si="69"/>
        <v>0</v>
      </c>
    </row>
    <row r="341" spans="1:24" ht="12.75" customHeight="1" x14ac:dyDescent="0.2">
      <c r="A341" s="720" t="s">
        <v>821</v>
      </c>
      <c r="B341" s="721"/>
      <c r="C341" s="511">
        <f>C176+C187+C198+C209+C220+C231+C242+C253+C264+C286+C297+C308+C319+C330+C275</f>
        <v>1369152210.2073689</v>
      </c>
      <c r="D341" s="478">
        <f t="shared" ref="D341:K341" si="70">D176+D187+D198+D209+D220+D231+D242+D253+D264+D286+D297+D308+D319+D330+D275</f>
        <v>1889186000</v>
      </c>
      <c r="E341" s="433">
        <f t="shared" si="70"/>
        <v>1830632104</v>
      </c>
      <c r="F341" s="477">
        <f t="shared" si="70"/>
        <v>124247725.66700003</v>
      </c>
      <c r="G341" s="433">
        <f t="shared" si="70"/>
        <v>381153474.47200006</v>
      </c>
      <c r="H341" s="477">
        <f t="shared" si="70"/>
        <v>762763376.66666675</v>
      </c>
      <c r="I341" s="433">
        <f t="shared" si="66"/>
        <v>-381609902.19466668</v>
      </c>
      <c r="J341" s="433">
        <f t="shared" si="67"/>
        <v>-0.50029919352228291</v>
      </c>
      <c r="K341" s="516">
        <f t="shared" si="70"/>
        <v>1830632080</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66"/>
        <v>0</v>
      </c>
      <c r="J342" s="51" t="str">
        <f t="shared" si="67"/>
        <v/>
      </c>
      <c r="K342" s="195"/>
      <c r="L342" s="483">
        <f t="shared" ref="L342:W342" si="71">L171-L340</f>
        <v>0</v>
      </c>
      <c r="M342" s="484">
        <f t="shared" si="71"/>
        <v>0</v>
      </c>
      <c r="N342" s="484">
        <f t="shared" si="71"/>
        <v>0</v>
      </c>
      <c r="O342" s="484">
        <f t="shared" si="71"/>
        <v>0</v>
      </c>
      <c r="P342" s="484">
        <f t="shared" si="71"/>
        <v>0</v>
      </c>
      <c r="Q342" s="484">
        <f t="shared" si="71"/>
        <v>0</v>
      </c>
      <c r="R342" s="484">
        <f t="shared" si="71"/>
        <v>0</v>
      </c>
      <c r="S342" s="484">
        <f t="shared" si="71"/>
        <v>0</v>
      </c>
      <c r="T342" s="484">
        <f t="shared" si="71"/>
        <v>0</v>
      </c>
      <c r="U342" s="484">
        <f t="shared" si="71"/>
        <v>0</v>
      </c>
      <c r="V342" s="484">
        <f t="shared" si="71"/>
        <v>0</v>
      </c>
      <c r="W342" s="484">
        <f t="shared" si="71"/>
        <v>0</v>
      </c>
    </row>
    <row r="343" spans="1:24" s="489" customFormat="1" ht="13.5" customHeight="1" thickTop="1" x14ac:dyDescent="0.2">
      <c r="A343" s="54" t="s">
        <v>783</v>
      </c>
      <c r="B343" s="480"/>
      <c r="C343" s="512">
        <f>C172+C341</f>
        <v>1369152210.2073689</v>
      </c>
      <c r="D343" s="515">
        <f t="shared" ref="D343:K343" si="72">D172+D341</f>
        <v>1889186000</v>
      </c>
      <c r="E343" s="56">
        <f t="shared" si="72"/>
        <v>1830632104</v>
      </c>
      <c r="F343" s="482">
        <f t="shared" si="72"/>
        <v>124247725.66700003</v>
      </c>
      <c r="G343" s="56">
        <f t="shared" si="72"/>
        <v>381153474.47200006</v>
      </c>
      <c r="H343" s="482">
        <f t="shared" si="72"/>
        <v>762763376.66666675</v>
      </c>
      <c r="I343" s="56">
        <f t="shared" si="66"/>
        <v>-381609902.19466668</v>
      </c>
      <c r="J343" s="56">
        <f t="shared" si="67"/>
        <v>-0.50029919352228291</v>
      </c>
      <c r="K343" s="236">
        <f t="shared" si="72"/>
        <v>1830632080</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125</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26" activePane="bottomRight" state="frozen"/>
      <selection pane="topRight"/>
      <selection pane="bottomLeft"/>
      <selection pane="bottomRight" activeCell="G48" sqref="C7:G48"/>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46" t="str">
        <f>muni&amp; " - "&amp;S71E&amp; " - "&amp;date</f>
        <v>LIM354 Polokwane - Table C6 Monthly Budget Statement - Financial Position - M05 November</v>
      </c>
      <c r="B1" s="1046"/>
      <c r="C1" s="1046"/>
      <c r="D1" s="1046"/>
      <c r="E1" s="1046"/>
      <c r="F1" s="1046"/>
      <c r="G1" s="1046"/>
    </row>
    <row r="2" spans="1:8" x14ac:dyDescent="0.2">
      <c r="A2" s="1031" t="str">
        <f>desc</f>
        <v>Description</v>
      </c>
      <c r="B2" s="1024" t="str">
        <f>head27</f>
        <v>Ref</v>
      </c>
      <c r="C2" s="141" t="str">
        <f>Head1</f>
        <v>2018/19</v>
      </c>
      <c r="D2" s="246" t="str">
        <f>Head2</f>
        <v>Budget Year 2019/20</v>
      </c>
      <c r="E2" s="230"/>
      <c r="F2" s="230"/>
      <c r="G2" s="231"/>
    </row>
    <row r="3" spans="1:8" ht="20.399999999999999" x14ac:dyDescent="0.2">
      <c r="A3" s="1032"/>
      <c r="B3" s="1035"/>
      <c r="C3" s="141" t="str">
        <f>Head5</f>
        <v>Audited Outcome</v>
      </c>
      <c r="D3" s="258" t="str">
        <f>Head6</f>
        <v>Original Budget</v>
      </c>
      <c r="E3" s="142" t="str">
        <f>Head7</f>
        <v>Adjusted Budget</v>
      </c>
      <c r="F3" s="142" t="str">
        <f>Head39</f>
        <v>YearTD actual</v>
      </c>
      <c r="G3" s="165" t="str">
        <f>Head8</f>
        <v>Full Year Forecast</v>
      </c>
    </row>
    <row r="4" spans="1:8" x14ac:dyDescent="0.2">
      <c r="A4" s="35" t="s">
        <v>687</v>
      </c>
      <c r="B4" s="120">
        <v>1</v>
      </c>
      <c r="C4" s="188"/>
      <c r="D4" s="247"/>
      <c r="E4" s="242"/>
      <c r="F4" s="83"/>
      <c r="G4" s="224"/>
    </row>
    <row r="5" spans="1:8" ht="11.25" customHeight="1" x14ac:dyDescent="0.2">
      <c r="A5" s="183" t="s">
        <v>561</v>
      </c>
      <c r="B5" s="187"/>
      <c r="C5" s="171"/>
      <c r="D5" s="268"/>
      <c r="E5" s="37"/>
      <c r="F5" s="37"/>
      <c r="G5" s="227"/>
    </row>
    <row r="6" spans="1:8" ht="11.25" customHeight="1" x14ac:dyDescent="0.2">
      <c r="A6" s="88" t="s">
        <v>562</v>
      </c>
      <c r="B6" s="170"/>
      <c r="C6" s="41"/>
      <c r="D6" s="269"/>
      <c r="E6" s="104"/>
      <c r="F6" s="104"/>
      <c r="G6" s="267"/>
    </row>
    <row r="7" spans="1:8" ht="12.75" customHeight="1" x14ac:dyDescent="0.2">
      <c r="A7" s="40" t="s">
        <v>807</v>
      </c>
      <c r="B7" s="170"/>
      <c r="C7" s="758">
        <v>61635084</v>
      </c>
      <c r="D7" s="763">
        <v>166129395.44999999</v>
      </c>
      <c r="E7" s="743">
        <v>68216679.560000196</v>
      </c>
      <c r="F7" s="743">
        <f>'C7-CFlow'!G41</f>
        <v>359342034.82000017</v>
      </c>
      <c r="G7" s="745">
        <v>68216679.560000196</v>
      </c>
    </row>
    <row r="8" spans="1:8" ht="12.75" customHeight="1" x14ac:dyDescent="0.2">
      <c r="A8" s="40" t="s">
        <v>610</v>
      </c>
      <c r="B8" s="170"/>
      <c r="C8" s="758">
        <v>124239916</v>
      </c>
      <c r="D8" s="763">
        <v>131000000</v>
      </c>
      <c r="E8" s="743">
        <v>96000000</v>
      </c>
      <c r="F8" s="743">
        <v>180</v>
      </c>
      <c r="G8" s="745">
        <v>96000000</v>
      </c>
    </row>
    <row r="9" spans="1:8" ht="12.75" customHeight="1" x14ac:dyDescent="0.2">
      <c r="A9" s="40" t="s">
        <v>608</v>
      </c>
      <c r="B9" s="170"/>
      <c r="C9" s="758">
        <v>496699359</v>
      </c>
      <c r="D9" s="763">
        <v>534565270.20000005</v>
      </c>
      <c r="E9" s="743">
        <v>534565270.20000005</v>
      </c>
      <c r="F9" s="743">
        <v>1348940865</v>
      </c>
      <c r="G9" s="745">
        <v>534565270.20000005</v>
      </c>
    </row>
    <row r="10" spans="1:8" ht="12.75" customHeight="1" x14ac:dyDescent="0.2">
      <c r="A10" s="40" t="s">
        <v>609</v>
      </c>
      <c r="B10" s="170"/>
      <c r="C10" s="758">
        <v>543124068</v>
      </c>
      <c r="D10" s="763">
        <v>45000000</v>
      </c>
      <c r="E10" s="743">
        <v>45000000</v>
      </c>
      <c r="F10" s="989">
        <v>53342544.350000001</v>
      </c>
      <c r="G10" s="745">
        <v>45000000</v>
      </c>
    </row>
    <row r="11" spans="1:8" ht="12.75" customHeight="1" x14ac:dyDescent="0.2">
      <c r="A11" s="40" t="s">
        <v>808</v>
      </c>
      <c r="B11" s="170"/>
      <c r="C11" s="758">
        <v>20914988</v>
      </c>
      <c r="D11" s="763">
        <v>500000</v>
      </c>
      <c r="E11" s="743">
        <v>500000</v>
      </c>
      <c r="F11" s="988">
        <v>759056.9</v>
      </c>
      <c r="G11" s="745">
        <v>500000</v>
      </c>
    </row>
    <row r="12" spans="1:8" ht="12.75" customHeight="1" x14ac:dyDescent="0.2">
      <c r="A12" s="40" t="s">
        <v>607</v>
      </c>
      <c r="B12" s="170"/>
      <c r="C12" s="758">
        <v>143682853</v>
      </c>
      <c r="D12" s="763">
        <v>96214114</v>
      </c>
      <c r="E12" s="743">
        <v>96214114</v>
      </c>
      <c r="F12" s="987">
        <v>180903052</v>
      </c>
      <c r="G12" s="745">
        <v>96214114</v>
      </c>
    </row>
    <row r="13" spans="1:8" ht="12.75" customHeight="1" x14ac:dyDescent="0.2">
      <c r="A13" s="93" t="s">
        <v>652</v>
      </c>
      <c r="B13" s="234"/>
      <c r="C13" s="244">
        <f>SUM(C7:C12)</f>
        <v>1390296268</v>
      </c>
      <c r="D13" s="261">
        <f>SUM(D7:D12)</f>
        <v>973408779.6500001</v>
      </c>
      <c r="E13" s="74">
        <f>SUM(E7:E12)</f>
        <v>840496063.76000023</v>
      </c>
      <c r="F13" s="74">
        <f>SUM(F7:F12)</f>
        <v>1943287733.0700002</v>
      </c>
      <c r="G13" s="146">
        <f>SUM(G7:G12)</f>
        <v>840496063.76000023</v>
      </c>
    </row>
    <row r="14" spans="1:8" ht="5.0999999999999996" customHeight="1" x14ac:dyDescent="0.2">
      <c r="A14" s="43"/>
      <c r="B14" s="170"/>
      <c r="C14" s="135"/>
      <c r="D14" s="259"/>
      <c r="E14" s="45"/>
      <c r="F14" s="45"/>
      <c r="G14" s="145"/>
    </row>
    <row r="15" spans="1:8" ht="12.75" customHeight="1" x14ac:dyDescent="0.2">
      <c r="A15" s="88" t="s">
        <v>464</v>
      </c>
      <c r="B15" s="170"/>
      <c r="C15" s="135"/>
      <c r="D15" s="259"/>
      <c r="E15" s="45"/>
      <c r="F15" s="45"/>
      <c r="G15" s="145"/>
    </row>
    <row r="16" spans="1:8" ht="12.75" customHeight="1" x14ac:dyDescent="0.2">
      <c r="A16" s="40" t="s">
        <v>606</v>
      </c>
      <c r="B16" s="170"/>
      <c r="C16" s="758">
        <v>0</v>
      </c>
      <c r="D16" s="763">
        <v>0</v>
      </c>
      <c r="E16" s="743">
        <v>0</v>
      </c>
      <c r="F16" s="743">
        <v>0</v>
      </c>
      <c r="G16" s="745">
        <v>0</v>
      </c>
      <c r="H16" s="40"/>
    </row>
    <row r="17" spans="1:8" ht="12.75" customHeight="1" x14ac:dyDescent="0.2">
      <c r="A17" s="40" t="s">
        <v>563</v>
      </c>
      <c r="B17" s="170"/>
      <c r="C17" s="758">
        <v>0</v>
      </c>
      <c r="D17" s="763">
        <v>1000</v>
      </c>
      <c r="E17" s="743">
        <v>1000</v>
      </c>
      <c r="F17" s="743">
        <v>1000.0000001</v>
      </c>
      <c r="G17" s="745">
        <v>1000</v>
      </c>
      <c r="H17" s="40"/>
    </row>
    <row r="18" spans="1:8" ht="12.75" customHeight="1" x14ac:dyDescent="0.2">
      <c r="A18" s="40" t="s">
        <v>605</v>
      </c>
      <c r="B18" s="170"/>
      <c r="C18" s="758">
        <v>749428236</v>
      </c>
      <c r="D18" s="763">
        <v>732808388</v>
      </c>
      <c r="E18" s="743">
        <v>732808388</v>
      </c>
      <c r="F18" s="743">
        <v>749428236</v>
      </c>
      <c r="G18" s="745">
        <v>732808388</v>
      </c>
      <c r="H18" s="40"/>
    </row>
    <row r="19" spans="1:8" ht="12.75" customHeight="1" x14ac:dyDescent="0.2">
      <c r="A19" s="40" t="s">
        <v>286</v>
      </c>
      <c r="B19" s="170"/>
      <c r="C19" s="758">
        <v>1000</v>
      </c>
      <c r="D19" s="763">
        <v>0</v>
      </c>
      <c r="E19" s="743">
        <v>0</v>
      </c>
      <c r="F19" s="743">
        <v>0</v>
      </c>
      <c r="G19" s="745">
        <v>0</v>
      </c>
      <c r="H19" s="40"/>
    </row>
    <row r="20" spans="1:8" ht="12.75" customHeight="1" x14ac:dyDescent="0.2">
      <c r="A20" s="40" t="s">
        <v>604</v>
      </c>
      <c r="B20" s="170"/>
      <c r="C20" s="758">
        <f>13095411418+21899818+144352</f>
        <v>13117455588</v>
      </c>
      <c r="D20" s="763">
        <v>15950812807</v>
      </c>
      <c r="E20" s="743">
        <v>15892258811</v>
      </c>
      <c r="F20" s="743">
        <f>13226224378.8855+'C5-Capex'!F74+21899818</f>
        <v>13372371922.5525</v>
      </c>
      <c r="G20" s="745">
        <v>15892258811</v>
      </c>
    </row>
    <row r="21" spans="1:8" ht="12.75" customHeight="1" x14ac:dyDescent="0.2">
      <c r="A21" s="40" t="s">
        <v>734</v>
      </c>
      <c r="B21" s="170"/>
      <c r="C21" s="758"/>
      <c r="D21" s="763">
        <v>0</v>
      </c>
      <c r="E21" s="743"/>
      <c r="F21" s="743"/>
      <c r="G21" s="745"/>
      <c r="H21" s="40"/>
    </row>
    <row r="22" spans="1:8" ht="12.75" customHeight="1" x14ac:dyDescent="0.2">
      <c r="A22" s="40" t="s">
        <v>476</v>
      </c>
      <c r="B22" s="170"/>
      <c r="C22" s="758">
        <v>4732398</v>
      </c>
      <c r="D22" s="763">
        <v>11833140</v>
      </c>
      <c r="E22" s="743">
        <v>11833140</v>
      </c>
      <c r="F22" s="743">
        <v>4732398</v>
      </c>
      <c r="G22" s="745">
        <v>11833140</v>
      </c>
      <c r="H22" s="40"/>
    </row>
    <row r="23" spans="1:8" ht="12.75" customHeight="1" x14ac:dyDescent="0.2">
      <c r="A23" s="40" t="s">
        <v>477</v>
      </c>
      <c r="B23" s="170"/>
      <c r="C23" s="758">
        <v>35401467</v>
      </c>
      <c r="D23" s="763">
        <v>11383052</v>
      </c>
      <c r="E23" s="743">
        <v>11383052</v>
      </c>
      <c r="F23" s="743">
        <v>35401467</v>
      </c>
      <c r="G23" s="745">
        <v>11383052</v>
      </c>
      <c r="H23" s="40"/>
    </row>
    <row r="24" spans="1:8" ht="12.75" customHeight="1" x14ac:dyDescent="0.2">
      <c r="A24" s="40" t="s">
        <v>817</v>
      </c>
      <c r="B24" s="170"/>
      <c r="C24" s="758"/>
      <c r="D24" s="763"/>
      <c r="E24" s="743"/>
      <c r="F24" s="743">
        <v>0</v>
      </c>
      <c r="G24" s="745"/>
      <c r="H24" s="40"/>
    </row>
    <row r="25" spans="1:8" ht="12.75" customHeight="1" x14ac:dyDescent="0.2">
      <c r="A25" s="93" t="s">
        <v>651</v>
      </c>
      <c r="B25" s="234"/>
      <c r="C25" s="244">
        <f>SUM(C16:C24)</f>
        <v>13907018689</v>
      </c>
      <c r="D25" s="261">
        <f>SUM(D16:D24)</f>
        <v>16706838387</v>
      </c>
      <c r="E25" s="74">
        <f>SUM(E16:E24)</f>
        <v>16648284391</v>
      </c>
      <c r="F25" s="74">
        <f>SUM(F16:F24)</f>
        <v>14161935023.5525</v>
      </c>
      <c r="G25" s="146">
        <f>SUM(G16:G24)</f>
        <v>16648284391</v>
      </c>
      <c r="H25" s="40"/>
    </row>
    <row r="26" spans="1:8" ht="12.75" customHeight="1" x14ac:dyDescent="0.2">
      <c r="A26" s="93" t="s">
        <v>800</v>
      </c>
      <c r="B26" s="234"/>
      <c r="C26" s="244">
        <f>C13+C25</f>
        <v>15297314957</v>
      </c>
      <c r="D26" s="261">
        <f>D13+D25</f>
        <v>17680247166.650002</v>
      </c>
      <c r="E26" s="74">
        <f>E13+E25</f>
        <v>17488780454.760002</v>
      </c>
      <c r="F26" s="74">
        <f>F13+F25</f>
        <v>16105222756.622499</v>
      </c>
      <c r="G26" s="146">
        <f>G13+G25</f>
        <v>17488780454.760002</v>
      </c>
    </row>
    <row r="27" spans="1:8" ht="5.0999999999999996" customHeight="1" x14ac:dyDescent="0.2">
      <c r="A27" s="43"/>
      <c r="B27" s="170"/>
      <c r="C27" s="135"/>
      <c r="D27" s="259"/>
      <c r="E27" s="45"/>
      <c r="F27" s="45"/>
      <c r="G27" s="145"/>
    </row>
    <row r="28" spans="1:8" ht="12.75" customHeight="1" x14ac:dyDescent="0.2">
      <c r="A28" s="36" t="s">
        <v>465</v>
      </c>
      <c r="B28" s="170"/>
      <c r="C28" s="135"/>
      <c r="D28" s="259"/>
      <c r="E28" s="45"/>
      <c r="F28" s="45"/>
      <c r="G28" s="145"/>
    </row>
    <row r="29" spans="1:8" ht="12.75" customHeight="1" x14ac:dyDescent="0.2">
      <c r="A29" s="88" t="s">
        <v>564</v>
      </c>
      <c r="B29" s="176"/>
      <c r="C29" s="135"/>
      <c r="D29" s="259"/>
      <c r="E29" s="45"/>
      <c r="F29" s="45"/>
      <c r="G29" s="145"/>
    </row>
    <row r="30" spans="1:8" ht="12.75" customHeight="1" x14ac:dyDescent="0.2">
      <c r="A30" s="40" t="s">
        <v>766</v>
      </c>
      <c r="B30" s="170"/>
      <c r="C30" s="758">
        <v>0</v>
      </c>
      <c r="D30" s="763">
        <v>0</v>
      </c>
      <c r="E30" s="743">
        <v>0</v>
      </c>
      <c r="F30" s="743">
        <v>0</v>
      </c>
      <c r="G30" s="745">
        <v>0</v>
      </c>
    </row>
    <row r="31" spans="1:8" ht="12.75" customHeight="1" x14ac:dyDescent="0.2">
      <c r="A31" s="40" t="s">
        <v>801</v>
      </c>
      <c r="B31" s="170"/>
      <c r="C31" s="758">
        <v>171081541</v>
      </c>
      <c r="D31" s="763">
        <v>64205000</v>
      </c>
      <c r="E31" s="743">
        <v>64205000</v>
      </c>
      <c r="F31" s="743">
        <v>171081541</v>
      </c>
      <c r="G31" s="745">
        <v>64205000</v>
      </c>
    </row>
    <row r="32" spans="1:8" ht="12.75" customHeight="1" x14ac:dyDescent="0.2">
      <c r="A32" s="40" t="s">
        <v>603</v>
      </c>
      <c r="B32" s="170"/>
      <c r="C32" s="758">
        <v>63612112</v>
      </c>
      <c r="D32" s="763">
        <v>73000000</v>
      </c>
      <c r="E32" s="743">
        <v>73000000</v>
      </c>
      <c r="F32" s="743">
        <v>73177984.930000007</v>
      </c>
      <c r="G32" s="745">
        <v>73000000</v>
      </c>
    </row>
    <row r="33" spans="1:7" ht="12.75" customHeight="1" x14ac:dyDescent="0.2">
      <c r="A33" s="40" t="s">
        <v>809</v>
      </c>
      <c r="B33" s="170"/>
      <c r="C33" s="758">
        <v>1123632076</v>
      </c>
      <c r="D33" s="763">
        <v>494599000</v>
      </c>
      <c r="E33" s="743">
        <v>494599000</v>
      </c>
      <c r="F33" s="743">
        <f>'SC4'!K15+('SC6'!G71-'SC7(1)'!G54)+113000000</f>
        <v>674499722.39649987</v>
      </c>
      <c r="G33" s="745">
        <v>494599000</v>
      </c>
    </row>
    <row r="34" spans="1:7" ht="12.75" customHeight="1" x14ac:dyDescent="0.2">
      <c r="A34" s="40" t="s">
        <v>565</v>
      </c>
      <c r="B34" s="170"/>
      <c r="C34" s="758">
        <v>0</v>
      </c>
      <c r="D34" s="763">
        <v>0</v>
      </c>
      <c r="E34" s="743">
        <v>0</v>
      </c>
      <c r="F34" s="743">
        <v>0</v>
      </c>
      <c r="G34" s="745">
        <v>0</v>
      </c>
    </row>
    <row r="35" spans="1:7" ht="12.75" customHeight="1" x14ac:dyDescent="0.2">
      <c r="A35" s="93" t="s">
        <v>469</v>
      </c>
      <c r="B35" s="234"/>
      <c r="C35" s="244">
        <f>SUM(C30:C34)</f>
        <v>1358325729</v>
      </c>
      <c r="D35" s="261">
        <f>SUM(D30:D34)</f>
        <v>631804000</v>
      </c>
      <c r="E35" s="74">
        <f>SUM(E30:E34)</f>
        <v>631804000</v>
      </c>
      <c r="F35" s="74">
        <f>SUM(F30:F34)</f>
        <v>918759248.32649994</v>
      </c>
      <c r="G35" s="146">
        <f>SUM(G30:G34)</f>
        <v>631804000</v>
      </c>
    </row>
    <row r="36" spans="1:7" ht="5.0999999999999996" customHeight="1" x14ac:dyDescent="0.2">
      <c r="A36" s="43"/>
      <c r="B36" s="170"/>
      <c r="C36" s="135"/>
      <c r="D36" s="259"/>
      <c r="E36" s="45"/>
      <c r="F36" s="45"/>
      <c r="G36" s="145"/>
    </row>
    <row r="37" spans="1:7" ht="12.75" customHeight="1" x14ac:dyDescent="0.2">
      <c r="A37" s="88" t="s">
        <v>467</v>
      </c>
      <c r="B37" s="170"/>
      <c r="C37" s="135"/>
      <c r="D37" s="259"/>
      <c r="E37" s="45"/>
      <c r="F37" s="45"/>
      <c r="G37" s="145"/>
    </row>
    <row r="38" spans="1:7" ht="12.75" customHeight="1" x14ac:dyDescent="0.2">
      <c r="A38" s="40" t="s">
        <v>801</v>
      </c>
      <c r="B38" s="170"/>
      <c r="C38" s="758">
        <v>512977719</v>
      </c>
      <c r="D38" s="763">
        <v>783313000</v>
      </c>
      <c r="E38" s="743">
        <v>783313000</v>
      </c>
      <c r="F38" s="743">
        <v>512977719</v>
      </c>
      <c r="G38" s="745">
        <v>783313000</v>
      </c>
    </row>
    <row r="39" spans="1:7" ht="12.75" customHeight="1" x14ac:dyDescent="0.2">
      <c r="A39" s="40" t="s">
        <v>565</v>
      </c>
      <c r="B39" s="170"/>
      <c r="C39" s="758">
        <v>392610949</v>
      </c>
      <c r="D39" s="763">
        <v>347176654</v>
      </c>
      <c r="E39" s="743">
        <v>347176654</v>
      </c>
      <c r="F39" s="743">
        <v>382444530.76999998</v>
      </c>
      <c r="G39" s="745">
        <v>347176654</v>
      </c>
    </row>
    <row r="40" spans="1:7" ht="12.75" customHeight="1" x14ac:dyDescent="0.2">
      <c r="A40" s="93" t="s">
        <v>468</v>
      </c>
      <c r="B40" s="234"/>
      <c r="C40" s="244">
        <f>SUM(C38:C39)</f>
        <v>905588668</v>
      </c>
      <c r="D40" s="261">
        <f>SUM(D38:D39)</f>
        <v>1130489654</v>
      </c>
      <c r="E40" s="74">
        <f>SUM(E38:E39)</f>
        <v>1130489654</v>
      </c>
      <c r="F40" s="74">
        <f>SUM(F38:F39)</f>
        <v>895422249.76999998</v>
      </c>
      <c r="G40" s="146">
        <f>SUM(G38:G39)</f>
        <v>1130489654</v>
      </c>
    </row>
    <row r="41" spans="1:7" ht="12.75" customHeight="1" x14ac:dyDescent="0.2">
      <c r="A41" s="93" t="s">
        <v>1</v>
      </c>
      <c r="B41" s="234"/>
      <c r="C41" s="244">
        <f>C35+C40</f>
        <v>2263914397</v>
      </c>
      <c r="D41" s="261">
        <f>D35+D40</f>
        <v>1762293654</v>
      </c>
      <c r="E41" s="74">
        <f>E35+E40</f>
        <v>1762293654</v>
      </c>
      <c r="F41" s="74">
        <f>F35+F40</f>
        <v>1814181498.0964999</v>
      </c>
      <c r="G41" s="146">
        <f>G35+G40</f>
        <v>1762293654</v>
      </c>
    </row>
    <row r="42" spans="1:7" ht="5.0999999999999996" customHeight="1" x14ac:dyDescent="0.2">
      <c r="A42" s="43"/>
      <c r="B42" s="170"/>
      <c r="C42" s="135"/>
      <c r="D42" s="259"/>
      <c r="E42" s="45"/>
      <c r="F42" s="45"/>
      <c r="G42" s="145"/>
    </row>
    <row r="43" spans="1:7" ht="12.75" customHeight="1" x14ac:dyDescent="0.2">
      <c r="A43" s="95" t="s">
        <v>799</v>
      </c>
      <c r="B43" s="120">
        <v>2</v>
      </c>
      <c r="C43" s="245">
        <f>C26-C41</f>
        <v>13033400560</v>
      </c>
      <c r="D43" s="266">
        <f>D26-D41</f>
        <v>15917953512.650002</v>
      </c>
      <c r="E43" s="77">
        <f>E26-E41</f>
        <v>15726486800.760002</v>
      </c>
      <c r="F43" s="77">
        <f>F26-F41</f>
        <v>14291041258.525999</v>
      </c>
      <c r="G43" s="235">
        <f>G26-G41</f>
        <v>15726486800.760002</v>
      </c>
    </row>
    <row r="44" spans="1:7" ht="5.0999999999999996" customHeight="1" x14ac:dyDescent="0.2">
      <c r="A44" s="43"/>
      <c r="B44" s="170"/>
      <c r="C44" s="135"/>
      <c r="D44" s="259"/>
      <c r="E44" s="45"/>
      <c r="F44" s="45"/>
      <c r="G44" s="145"/>
    </row>
    <row r="45" spans="1:7" ht="12.75" customHeight="1" x14ac:dyDescent="0.2">
      <c r="A45" s="36" t="s">
        <v>653</v>
      </c>
      <c r="B45" s="170"/>
      <c r="C45" s="135"/>
      <c r="D45" s="259"/>
      <c r="E45" s="45"/>
      <c r="F45" s="45"/>
      <c r="G45" s="145"/>
    </row>
    <row r="46" spans="1:7" ht="12.75" customHeight="1" x14ac:dyDescent="0.2">
      <c r="A46" s="40" t="s">
        <v>588</v>
      </c>
      <c r="B46" s="170"/>
      <c r="C46" s="758">
        <v>5608863225</v>
      </c>
      <c r="D46" s="763">
        <v>8416279674.6500015</v>
      </c>
      <c r="E46" s="743">
        <v>8224812962.7600021</v>
      </c>
      <c r="F46" s="743">
        <v>6866503923.5259991</v>
      </c>
      <c r="G46" s="745">
        <v>8224812962.7600021</v>
      </c>
    </row>
    <row r="47" spans="1:7" ht="12.75" customHeight="1" x14ac:dyDescent="0.2">
      <c r="A47" s="40" t="s">
        <v>931</v>
      </c>
      <c r="B47" s="170"/>
      <c r="C47" s="758">
        <v>7424537335</v>
      </c>
      <c r="D47" s="763">
        <v>7501673838</v>
      </c>
      <c r="E47" s="743">
        <v>7501673838</v>
      </c>
      <c r="F47" s="743">
        <v>7424537335</v>
      </c>
      <c r="G47" s="745">
        <v>7501673838</v>
      </c>
    </row>
    <row r="48" spans="1:7" ht="12.75" customHeight="1" x14ac:dyDescent="0.2">
      <c r="A48" s="54" t="s">
        <v>646</v>
      </c>
      <c r="B48" s="237">
        <v>2</v>
      </c>
      <c r="C48" s="113">
        <f>SUM(C46:C47)</f>
        <v>13033400560</v>
      </c>
      <c r="D48" s="272">
        <f>SUM(D46:D47)</f>
        <v>15917953512.650002</v>
      </c>
      <c r="E48" s="56">
        <f>SUM(E46:E47)</f>
        <v>15726486800.760002</v>
      </c>
      <c r="F48" s="56">
        <f>SUM(F46:F47)</f>
        <v>14291041258.525999</v>
      </c>
      <c r="G48" s="236">
        <f>SUM(G46:G47)</f>
        <v>15726486800.760002</v>
      </c>
    </row>
    <row r="49" spans="1:7" ht="12.75" customHeight="1" x14ac:dyDescent="0.2">
      <c r="A49" s="79" t="str">
        <f>head27a</f>
        <v>References</v>
      </c>
      <c r="B49" s="59"/>
      <c r="C49" s="50"/>
      <c r="D49" s="50"/>
      <c r="E49" s="50"/>
      <c r="F49" s="50"/>
      <c r="G49" s="50"/>
    </row>
    <row r="50" spans="1:7" ht="13.5" customHeight="1" x14ac:dyDescent="0.2">
      <c r="A50" s="1045" t="s">
        <v>152</v>
      </c>
      <c r="B50" s="1045"/>
      <c r="C50" s="1045"/>
      <c r="D50" s="1045"/>
      <c r="E50" s="1045"/>
      <c r="F50" s="1045"/>
      <c r="G50" s="1045"/>
    </row>
    <row r="51" spans="1:7" ht="13.5" customHeight="1" x14ac:dyDescent="0.2">
      <c r="A51" s="81" t="s">
        <v>927</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742</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9"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"&amp;S71F&amp; " - "&amp;date</f>
        <v>LIM354 Polokwane - Table C7 Monthly Budget Statement - Cash Flow  - M05 November</v>
      </c>
      <c r="B1" s="1042"/>
      <c r="C1" s="1042"/>
      <c r="D1" s="1042"/>
      <c r="E1" s="1042"/>
      <c r="F1" s="1042"/>
      <c r="G1" s="1042"/>
      <c r="H1" s="1042"/>
      <c r="I1" s="1042"/>
      <c r="J1" s="1042"/>
      <c r="K1" s="1042"/>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120">
        <v>1</v>
      </c>
      <c r="C4" s="188"/>
      <c r="D4" s="241"/>
      <c r="E4" s="242"/>
      <c r="F4" s="83"/>
      <c r="G4" s="83"/>
      <c r="H4" s="83"/>
      <c r="I4" s="83"/>
      <c r="J4" s="243" t="s">
        <v>594</v>
      </c>
      <c r="K4" s="224"/>
    </row>
    <row r="5" spans="1:11" ht="12.75" customHeight="1" x14ac:dyDescent="0.2">
      <c r="A5" s="273" t="s">
        <v>860</v>
      </c>
      <c r="B5" s="187"/>
      <c r="C5" s="171"/>
      <c r="D5" s="38"/>
      <c r="E5" s="37"/>
      <c r="F5" s="37"/>
      <c r="G5" s="37"/>
      <c r="H5" s="37"/>
      <c r="I5" s="37"/>
      <c r="J5" s="37"/>
      <c r="K5" s="227"/>
    </row>
    <row r="6" spans="1:11" ht="12.75" customHeight="1" x14ac:dyDescent="0.2">
      <c r="A6" s="88" t="s">
        <v>925</v>
      </c>
      <c r="B6" s="170"/>
      <c r="C6" s="41"/>
      <c r="D6" s="105"/>
      <c r="E6" s="104"/>
      <c r="F6" s="104"/>
      <c r="G6" s="104"/>
      <c r="H6" s="104"/>
      <c r="I6" s="104"/>
      <c r="J6" s="104"/>
      <c r="K6" s="267"/>
    </row>
    <row r="7" spans="1:11" ht="12.75" customHeight="1" x14ac:dyDescent="0.2">
      <c r="A7" s="521" t="s">
        <v>961</v>
      </c>
      <c r="B7" s="170"/>
      <c r="C7" s="758">
        <v>382487954.06060004</v>
      </c>
      <c r="D7" s="755">
        <v>422400000</v>
      </c>
      <c r="E7" s="743">
        <v>422400000</v>
      </c>
      <c r="F7" s="960">
        <v>42126851.800000079</v>
      </c>
      <c r="G7" s="960">
        <v>175419342.4499999</v>
      </c>
      <c r="H7" s="743">
        <f>E7/12*5</f>
        <v>176000000</v>
      </c>
      <c r="I7" s="45">
        <f t="shared" ref="I7:I13" si="0">G7-H7</f>
        <v>-580657.55000010133</v>
      </c>
      <c r="J7" s="333">
        <f>IF(I7=0,"",I7/H7)</f>
        <v>-3.2991906250005756E-3</v>
      </c>
      <c r="K7" s="745">
        <f>D7</f>
        <v>422400000</v>
      </c>
    </row>
    <row r="8" spans="1:11" ht="12.75" customHeight="1" x14ac:dyDescent="0.2">
      <c r="A8" s="521" t="s">
        <v>992</v>
      </c>
      <c r="B8" s="170"/>
      <c r="C8" s="758">
        <v>1279991317.2562022</v>
      </c>
      <c r="D8" s="755">
        <v>1607124610</v>
      </c>
      <c r="E8" s="743">
        <v>1607124610</v>
      </c>
      <c r="F8" s="960">
        <v>115695950.2700001</v>
      </c>
      <c r="G8" s="960">
        <v>592062407.74999988</v>
      </c>
      <c r="H8" s="743">
        <f t="shared" ref="H8:H13" si="1">E8/12*5</f>
        <v>669635254.16666663</v>
      </c>
      <c r="I8" s="45">
        <f t="shared" si="0"/>
        <v>-77572846.416666746</v>
      </c>
      <c r="J8" s="333">
        <f>IF(I8=0,"",I8/H8)</f>
        <v>-0.11584343257614617</v>
      </c>
      <c r="K8" s="745">
        <f t="shared" ref="K8:K12" si="2">D8</f>
        <v>1607124610</v>
      </c>
    </row>
    <row r="9" spans="1:11" ht="12.75" customHeight="1" x14ac:dyDescent="0.2">
      <c r="A9" s="521" t="s">
        <v>463</v>
      </c>
      <c r="B9" s="170"/>
      <c r="C9" s="758">
        <v>927896090.82330287</v>
      </c>
      <c r="D9" s="755">
        <v>350731130</v>
      </c>
      <c r="E9" s="743">
        <v>292731129.99999928</v>
      </c>
      <c r="F9" s="960">
        <v>30629632.909999944</v>
      </c>
      <c r="G9" s="960">
        <v>150173004.05000034</v>
      </c>
      <c r="H9" s="743">
        <f t="shared" si="1"/>
        <v>121971304.16666636</v>
      </c>
      <c r="I9" s="45">
        <f t="shared" si="0"/>
        <v>28201699.883333981</v>
      </c>
      <c r="J9" s="333">
        <f>IF(I9=0,"",I9/H9)</f>
        <v>0.23121585914009804</v>
      </c>
      <c r="K9" s="745">
        <f>E9</f>
        <v>292731129.99999928</v>
      </c>
    </row>
    <row r="10" spans="1:11" ht="12.75" customHeight="1" x14ac:dyDescent="0.2">
      <c r="A10" s="87" t="s">
        <v>716</v>
      </c>
      <c r="B10" s="172"/>
      <c r="C10" s="758">
        <v>948928027.3269459</v>
      </c>
      <c r="D10" s="755">
        <v>1039367000</v>
      </c>
      <c r="E10" s="743">
        <v>1039367000</v>
      </c>
      <c r="F10" s="960">
        <v>22422376.144385308</v>
      </c>
      <c r="G10" s="960">
        <v>434004398.33438528</v>
      </c>
      <c r="H10" s="743">
        <f t="shared" si="1"/>
        <v>433069583.33333337</v>
      </c>
      <c r="I10" s="45">
        <f t="shared" si="0"/>
        <v>934815.00105190277</v>
      </c>
      <c r="J10" s="333">
        <f>IF(I10=0,"",I10/H10)</f>
        <v>2.1585792145840366E-3</v>
      </c>
      <c r="K10" s="745">
        <f t="shared" si="2"/>
        <v>1039367000</v>
      </c>
    </row>
    <row r="11" spans="1:11" ht="12.75" customHeight="1" x14ac:dyDescent="0.2">
      <c r="A11" s="87" t="s">
        <v>717</v>
      </c>
      <c r="B11" s="172"/>
      <c r="C11" s="758">
        <v>1050027972.6730541</v>
      </c>
      <c r="D11" s="755">
        <v>1267136000</v>
      </c>
      <c r="E11" s="743">
        <v>1267136000</v>
      </c>
      <c r="F11" s="960">
        <v>319694623.85561472</v>
      </c>
      <c r="G11" s="960">
        <v>702023138.85561466</v>
      </c>
      <c r="H11" s="743">
        <f t="shared" si="1"/>
        <v>527973333.33333337</v>
      </c>
      <c r="I11" s="45">
        <f t="shared" si="0"/>
        <v>174049805.52228129</v>
      </c>
      <c r="J11" s="333">
        <f t="shared" ref="J11:J18" si="3">IF(I11=0,"",I11/H11)</f>
        <v>0.32965643250091153</v>
      </c>
      <c r="K11" s="745">
        <f t="shared" si="2"/>
        <v>1267136000</v>
      </c>
    </row>
    <row r="12" spans="1:11" ht="12.75" customHeight="1" x14ac:dyDescent="0.2">
      <c r="A12" s="87" t="s">
        <v>911</v>
      </c>
      <c r="B12" s="172"/>
      <c r="C12" s="758">
        <v>25979289.917086422</v>
      </c>
      <c r="D12" s="755">
        <v>103483380</v>
      </c>
      <c r="E12" s="743">
        <v>103483380</v>
      </c>
      <c r="F12" s="960">
        <v>9731114.5700000003</v>
      </c>
      <c r="G12" s="960">
        <v>47872971.189999998</v>
      </c>
      <c r="H12" s="743">
        <f t="shared" si="1"/>
        <v>43118075</v>
      </c>
      <c r="I12" s="45">
        <f t="shared" si="0"/>
        <v>4754896.1899999976</v>
      </c>
      <c r="J12" s="333">
        <f t="shared" si="3"/>
        <v>0.11027617049230509</v>
      </c>
      <c r="K12" s="745">
        <f t="shared" si="2"/>
        <v>103483380</v>
      </c>
    </row>
    <row r="13" spans="1:11" ht="12.75" customHeight="1" x14ac:dyDescent="0.2">
      <c r="A13" s="87" t="s">
        <v>686</v>
      </c>
      <c r="B13" s="172"/>
      <c r="C13" s="758"/>
      <c r="D13" s="755"/>
      <c r="E13" s="743">
        <v>0</v>
      </c>
      <c r="F13" s="960"/>
      <c r="G13" s="960"/>
      <c r="H13" s="743">
        <f t="shared" si="1"/>
        <v>0</v>
      </c>
      <c r="I13" s="45">
        <f t="shared" si="0"/>
        <v>0</v>
      </c>
      <c r="J13" s="333" t="str">
        <f t="shared" si="3"/>
        <v/>
      </c>
      <c r="K13" s="745">
        <v>0</v>
      </c>
    </row>
    <row r="14" spans="1:11" ht="12.75" customHeight="1" x14ac:dyDescent="0.2">
      <c r="A14" s="89" t="s">
        <v>926</v>
      </c>
      <c r="B14" s="172"/>
      <c r="C14" s="135"/>
      <c r="D14" s="47"/>
      <c r="E14" s="45"/>
      <c r="F14" s="45"/>
      <c r="G14" s="45"/>
      <c r="H14" s="45"/>
      <c r="I14" s="45"/>
      <c r="J14" s="333"/>
      <c r="K14" s="145"/>
    </row>
    <row r="15" spans="1:11" ht="12.75" customHeight="1" x14ac:dyDescent="0.2">
      <c r="A15" s="87" t="s">
        <v>718</v>
      </c>
      <c r="B15" s="172"/>
      <c r="C15" s="758">
        <f>-3377555104.70339-2508475.01</f>
        <v>-3380063579.7133904</v>
      </c>
      <c r="D15" s="755">
        <v>-3110914077</v>
      </c>
      <c r="E15" s="743">
        <v>-3110914077</v>
      </c>
      <c r="F15" s="743">
        <v>-239009885.33666664</v>
      </c>
      <c r="G15" s="743">
        <f>-1470186311.91+19171797.9333359</f>
        <v>-1451014513.9766641</v>
      </c>
      <c r="H15" s="743">
        <f t="shared" ref="H15:H17" si="4">E15/12*5</f>
        <v>-1296214198.75</v>
      </c>
      <c r="I15" s="45">
        <f>H15-G15</f>
        <v>154800315.22666407</v>
      </c>
      <c r="J15" s="333">
        <f t="shared" si="3"/>
        <v>-0.11942494949981666</v>
      </c>
      <c r="K15" s="745">
        <f t="shared" ref="K15:K17" si="5">D15</f>
        <v>-3110914077</v>
      </c>
    </row>
    <row r="16" spans="1:11" ht="12.75" customHeight="1" x14ac:dyDescent="0.2">
      <c r="A16" s="87" t="s">
        <v>462</v>
      </c>
      <c r="B16" s="172"/>
      <c r="C16" s="758">
        <v>-20585735.190000001</v>
      </c>
      <c r="D16" s="755">
        <v>-84866634</v>
      </c>
      <c r="E16" s="743">
        <v>-84866634</v>
      </c>
      <c r="F16" s="743">
        <v>0</v>
      </c>
      <c r="G16" s="743">
        <v>-32464062.57</v>
      </c>
      <c r="H16" s="743">
        <f t="shared" si="4"/>
        <v>-35361097.5</v>
      </c>
      <c r="I16" s="45">
        <f>H16-G16</f>
        <v>-2897034.9299999997</v>
      </c>
      <c r="J16" s="333">
        <f t="shared" si="3"/>
        <v>8.1927178023815564E-2</v>
      </c>
      <c r="K16" s="745">
        <f t="shared" si="5"/>
        <v>-84866634</v>
      </c>
    </row>
    <row r="17" spans="1:11" ht="12.75" customHeight="1" x14ac:dyDescent="0.2">
      <c r="A17" s="87" t="s">
        <v>70</v>
      </c>
      <c r="B17" s="172"/>
      <c r="C17" s="758">
        <v>-8380000</v>
      </c>
      <c r="D17" s="755">
        <v>-11500000</v>
      </c>
      <c r="E17" s="743">
        <v>-11500000</v>
      </c>
      <c r="F17" s="743">
        <v>-580000</v>
      </c>
      <c r="G17" s="743">
        <v>-2758333.3333333335</v>
      </c>
      <c r="H17" s="743">
        <f t="shared" si="4"/>
        <v>-4791666.666666667</v>
      </c>
      <c r="I17" s="45">
        <f>H17-G17</f>
        <v>-2033333.3333333335</v>
      </c>
      <c r="J17" s="333">
        <f t="shared" si="3"/>
        <v>0.42434782608695654</v>
      </c>
      <c r="K17" s="745">
        <f t="shared" si="5"/>
        <v>-11500000</v>
      </c>
    </row>
    <row r="18" spans="1:11" ht="12.75" customHeight="1" x14ac:dyDescent="0.2">
      <c r="A18" s="93" t="s">
        <v>915</v>
      </c>
      <c r="B18" s="234"/>
      <c r="C18" s="244">
        <f t="shared" ref="C18:H18" si="6">SUM(C7:C13)+SUM(C15:C17)</f>
        <v>1206281337.1538014</v>
      </c>
      <c r="D18" s="75">
        <f t="shared" si="6"/>
        <v>1582961409</v>
      </c>
      <c r="E18" s="74">
        <f t="shared" si="6"/>
        <v>1524961408.999999</v>
      </c>
      <c r="F18" s="74">
        <f t="shared" si="6"/>
        <v>300710664.21333355</v>
      </c>
      <c r="G18" s="74">
        <f t="shared" si="6"/>
        <v>615318352.75000286</v>
      </c>
      <c r="H18" s="74">
        <f t="shared" si="6"/>
        <v>635400587.08333325</v>
      </c>
      <c r="I18" s="74">
        <f>H18-G18</f>
        <v>20082234.333330393</v>
      </c>
      <c r="J18" s="334">
        <f t="shared" si="3"/>
        <v>3.1605627601814908E-2</v>
      </c>
      <c r="K18" s="146">
        <f>SUM(K7:K13)+SUM(K15:K17)</f>
        <v>1524961408.999999</v>
      </c>
    </row>
    <row r="19" spans="1:11" ht="5.0999999999999996" customHeight="1" x14ac:dyDescent="0.2">
      <c r="A19" s="43"/>
      <c r="B19" s="170"/>
      <c r="C19" s="135"/>
      <c r="D19" s="47"/>
      <c r="E19" s="45"/>
      <c r="F19" s="45"/>
      <c r="G19" s="45"/>
      <c r="H19" s="45"/>
      <c r="I19" s="45"/>
      <c r="J19" s="45"/>
      <c r="K19" s="145"/>
    </row>
    <row r="20" spans="1:11" ht="12.75" customHeight="1" x14ac:dyDescent="0.2">
      <c r="A20" s="88" t="s">
        <v>743</v>
      </c>
      <c r="B20" s="170"/>
      <c r="C20" s="135"/>
      <c r="D20" s="47"/>
      <c r="E20" s="45"/>
      <c r="F20" s="45"/>
      <c r="G20" s="45"/>
      <c r="H20" s="45"/>
      <c r="I20" s="45"/>
      <c r="J20" s="45"/>
      <c r="K20" s="145"/>
    </row>
    <row r="21" spans="1:11" ht="12.75" customHeight="1" x14ac:dyDescent="0.2">
      <c r="A21" s="88" t="s">
        <v>925</v>
      </c>
      <c r="B21" s="170"/>
      <c r="C21" s="135"/>
      <c r="D21" s="47"/>
      <c r="E21" s="45"/>
      <c r="F21" s="45"/>
      <c r="G21" s="45"/>
      <c r="H21" s="45"/>
      <c r="I21" s="45"/>
      <c r="J21" s="45"/>
      <c r="K21" s="145"/>
    </row>
    <row r="22" spans="1:11" ht="12.75" customHeight="1" x14ac:dyDescent="0.2">
      <c r="A22" s="87" t="s">
        <v>952</v>
      </c>
      <c r="B22" s="170"/>
      <c r="C22" s="758">
        <v>0</v>
      </c>
      <c r="D22" s="755">
        <v>0</v>
      </c>
      <c r="E22" s="743">
        <v>0</v>
      </c>
      <c r="F22" s="743">
        <v>0</v>
      </c>
      <c r="G22" s="743">
        <v>0</v>
      </c>
      <c r="H22" s="743">
        <f t="shared" ref="H22:H25" si="7">D22/12</f>
        <v>0</v>
      </c>
      <c r="I22" s="45">
        <f>G22-H22</f>
        <v>0</v>
      </c>
      <c r="J22" s="333" t="str">
        <f t="shared" ref="J22:J28" si="8">IF(I22=0,"",I22/H22)</f>
        <v/>
      </c>
      <c r="K22" s="745">
        <f t="shared" ref="K22:K25" si="9">D22</f>
        <v>0</v>
      </c>
    </row>
    <row r="23" spans="1:11" ht="12.75" customHeight="1" x14ac:dyDescent="0.2">
      <c r="A23" s="40" t="s">
        <v>449</v>
      </c>
      <c r="B23" s="170"/>
      <c r="C23" s="758">
        <v>0</v>
      </c>
      <c r="D23" s="755">
        <v>0</v>
      </c>
      <c r="E23" s="743">
        <v>0</v>
      </c>
      <c r="F23" s="743">
        <v>0</v>
      </c>
      <c r="G23" s="743">
        <v>0</v>
      </c>
      <c r="H23" s="743">
        <f t="shared" si="7"/>
        <v>0</v>
      </c>
      <c r="I23" s="45">
        <f>G23-H23</f>
        <v>0</v>
      </c>
      <c r="J23" s="333" t="str">
        <f t="shared" si="8"/>
        <v/>
      </c>
      <c r="K23" s="745">
        <f t="shared" si="9"/>
        <v>0</v>
      </c>
    </row>
    <row r="24" spans="1:11" ht="12.75" customHeight="1" x14ac:dyDescent="0.2">
      <c r="A24" s="40" t="s">
        <v>913</v>
      </c>
      <c r="B24" s="176"/>
      <c r="C24" s="758">
        <v>0</v>
      </c>
      <c r="D24" s="755">
        <v>0</v>
      </c>
      <c r="E24" s="743">
        <v>0</v>
      </c>
      <c r="F24" s="743">
        <v>0</v>
      </c>
      <c r="G24" s="743">
        <v>0</v>
      </c>
      <c r="H24" s="743">
        <f t="shared" si="7"/>
        <v>0</v>
      </c>
      <c r="I24" s="45">
        <f>G24-H24</f>
        <v>0</v>
      </c>
      <c r="J24" s="333" t="str">
        <f t="shared" si="8"/>
        <v/>
      </c>
      <c r="K24" s="745">
        <f t="shared" si="9"/>
        <v>0</v>
      </c>
    </row>
    <row r="25" spans="1:11" ht="12.75" customHeight="1" x14ac:dyDescent="0.2">
      <c r="A25" s="40" t="s">
        <v>914</v>
      </c>
      <c r="B25" s="170"/>
      <c r="C25" s="758">
        <v>1850000</v>
      </c>
      <c r="D25" s="755">
        <v>0</v>
      </c>
      <c r="E25" s="743">
        <v>0</v>
      </c>
      <c r="F25" s="743">
        <v>0</v>
      </c>
      <c r="G25" s="743">
        <v>118393141.01000001</v>
      </c>
      <c r="H25" s="743">
        <f t="shared" si="7"/>
        <v>0</v>
      </c>
      <c r="I25" s="45">
        <f>G25-H25</f>
        <v>118393141.01000001</v>
      </c>
      <c r="J25" s="333" t="e">
        <f t="shared" si="8"/>
        <v>#DIV/0!</v>
      </c>
      <c r="K25" s="745">
        <f t="shared" si="9"/>
        <v>0</v>
      </c>
    </row>
    <row r="26" spans="1:11" ht="12.75" customHeight="1" x14ac:dyDescent="0.2">
      <c r="A26" s="88" t="s">
        <v>926</v>
      </c>
      <c r="B26" s="170"/>
      <c r="C26" s="135"/>
      <c r="D26" s="47"/>
      <c r="E26" s="45"/>
      <c r="F26" s="45"/>
      <c r="G26" s="45"/>
      <c r="H26" s="45"/>
      <c r="I26" s="45"/>
      <c r="J26" s="45"/>
      <c r="K26" s="145"/>
    </row>
    <row r="27" spans="1:11" ht="12.75" customHeight="1" x14ac:dyDescent="0.2">
      <c r="A27" s="40" t="s">
        <v>719</v>
      </c>
      <c r="B27" s="170"/>
      <c r="C27" s="758">
        <v>-1063265964.723804</v>
      </c>
      <c r="D27" s="755">
        <v>-1816379813.4399998</v>
      </c>
      <c r="E27" s="743">
        <v>-1757825817.4399998</v>
      </c>
      <c r="F27" s="743">
        <v>-124247725.67</v>
      </c>
      <c r="G27" s="743">
        <v>-416140531.12</v>
      </c>
      <c r="H27" s="743">
        <f>E27/12*5</f>
        <v>-732427423.93333328</v>
      </c>
      <c r="I27" s="45">
        <f>H27-G27</f>
        <v>-316286892.81333327</v>
      </c>
      <c r="J27" s="333">
        <f t="shared" si="8"/>
        <v>0.43183376601982915</v>
      </c>
      <c r="K27" s="745">
        <f>E27</f>
        <v>-1757825817.4399998</v>
      </c>
    </row>
    <row r="28" spans="1:11" ht="12.75" customHeight="1" x14ac:dyDescent="0.2">
      <c r="A28" s="93" t="s">
        <v>916</v>
      </c>
      <c r="B28" s="234"/>
      <c r="C28" s="549">
        <f t="shared" ref="C28:H28" si="10">SUM(C22:C25)+C27</f>
        <v>-1061415964.723804</v>
      </c>
      <c r="D28" s="75">
        <f>SUM(D22:D25)+D27</f>
        <v>-1816379813.4399998</v>
      </c>
      <c r="E28" s="74">
        <f t="shared" si="10"/>
        <v>-1757825817.4399998</v>
      </c>
      <c r="F28" s="74">
        <f t="shared" si="10"/>
        <v>-124247725.67</v>
      </c>
      <c r="G28" s="74">
        <f t="shared" si="10"/>
        <v>-297747390.11000001</v>
      </c>
      <c r="H28" s="74">
        <f t="shared" si="10"/>
        <v>-732427423.93333328</v>
      </c>
      <c r="I28" s="74">
        <f>H28-G28</f>
        <v>-434680033.82333326</v>
      </c>
      <c r="J28" s="334">
        <f t="shared" si="8"/>
        <v>0.59347864323400668</v>
      </c>
      <c r="K28" s="146">
        <f>SUM(K22:K25)+K27</f>
        <v>-1757825817.4399998</v>
      </c>
    </row>
    <row r="29" spans="1:11" ht="5.0999999999999996" customHeight="1" x14ac:dyDescent="0.2">
      <c r="A29" s="43"/>
      <c r="B29" s="170"/>
      <c r="C29" s="135"/>
      <c r="D29" s="47"/>
      <c r="E29" s="45"/>
      <c r="F29" s="45"/>
      <c r="G29" s="45"/>
      <c r="H29" s="45"/>
      <c r="I29" s="45"/>
      <c r="J29" s="45"/>
      <c r="K29" s="145"/>
    </row>
    <row r="30" spans="1:11" ht="12.75" customHeight="1" x14ac:dyDescent="0.2">
      <c r="A30" s="88" t="s">
        <v>765</v>
      </c>
      <c r="B30" s="170"/>
      <c r="C30" s="135"/>
      <c r="D30" s="47"/>
      <c r="E30" s="45"/>
      <c r="F30" s="45"/>
      <c r="G30" s="45"/>
      <c r="H30" s="45"/>
      <c r="I30" s="45"/>
      <c r="J30" s="45"/>
      <c r="K30" s="145"/>
    </row>
    <row r="31" spans="1:11" ht="12.75" customHeight="1" x14ac:dyDescent="0.2">
      <c r="A31" s="88" t="s">
        <v>925</v>
      </c>
      <c r="B31" s="170"/>
      <c r="C31" s="135"/>
      <c r="D31" s="47"/>
      <c r="E31" s="45"/>
      <c r="F31" s="45"/>
      <c r="G31" s="45"/>
      <c r="H31" s="45"/>
      <c r="I31" s="45"/>
      <c r="J31" s="45"/>
      <c r="K31" s="145"/>
    </row>
    <row r="32" spans="1:11" ht="12.75" customHeight="1" x14ac:dyDescent="0.2">
      <c r="A32" s="40" t="s">
        <v>929</v>
      </c>
      <c r="B32" s="170"/>
      <c r="C32" s="758">
        <v>0</v>
      </c>
      <c r="D32" s="755">
        <v>0</v>
      </c>
      <c r="E32" s="743">
        <v>0</v>
      </c>
      <c r="F32" s="743">
        <v>0</v>
      </c>
      <c r="G32" s="743">
        <v>0</v>
      </c>
      <c r="H32" s="743">
        <f t="shared" ref="H32:H34" si="11">E32/12*5</f>
        <v>0</v>
      </c>
      <c r="I32" s="45">
        <f>G32-H32</f>
        <v>0</v>
      </c>
      <c r="J32" s="333" t="str">
        <f t="shared" ref="J32:J37" si="12">IF(I32=0,"",I32/H32)</f>
        <v/>
      </c>
      <c r="K32" s="745">
        <f t="shared" ref="K32:K34" si="13">D32</f>
        <v>0</v>
      </c>
    </row>
    <row r="33" spans="1:11" ht="12.75" customHeight="1" x14ac:dyDescent="0.2">
      <c r="A33" s="40" t="s">
        <v>988</v>
      </c>
      <c r="B33" s="170"/>
      <c r="C33" s="758">
        <v>0</v>
      </c>
      <c r="D33" s="755">
        <v>300000000</v>
      </c>
      <c r="E33" s="743">
        <v>300000000</v>
      </c>
      <c r="F33" s="743">
        <v>-610319.63999999966</v>
      </c>
      <c r="G33" s="743">
        <v>-2506669.9499999997</v>
      </c>
      <c r="H33" s="743">
        <f t="shared" si="11"/>
        <v>125000000</v>
      </c>
      <c r="I33" s="45">
        <f>G33-H33</f>
        <v>-127506669.95</v>
      </c>
      <c r="J33" s="333">
        <f t="shared" si="12"/>
        <v>-1.0200533596000001</v>
      </c>
      <c r="K33" s="745">
        <f t="shared" si="13"/>
        <v>300000000</v>
      </c>
    </row>
    <row r="34" spans="1:11" ht="12.75" customHeight="1" x14ac:dyDescent="0.2">
      <c r="A34" s="40" t="s">
        <v>71</v>
      </c>
      <c r="B34" s="170"/>
      <c r="C34" s="758">
        <v>-2822817.99</v>
      </c>
      <c r="D34" s="755">
        <v>0</v>
      </c>
      <c r="E34" s="743">
        <v>0</v>
      </c>
      <c r="F34" s="743">
        <v>-521856.96000008285</v>
      </c>
      <c r="G34" s="743">
        <v>-928723.00000009954</v>
      </c>
      <c r="H34" s="743">
        <f t="shared" si="11"/>
        <v>0</v>
      </c>
      <c r="I34" s="45">
        <f>G34-H34</f>
        <v>-928723.00000009954</v>
      </c>
      <c r="J34" s="333" t="e">
        <f t="shared" si="12"/>
        <v>#DIV/0!</v>
      </c>
      <c r="K34" s="745">
        <f t="shared" si="13"/>
        <v>0</v>
      </c>
    </row>
    <row r="35" spans="1:11" ht="12.75" customHeight="1" x14ac:dyDescent="0.2">
      <c r="A35" s="88" t="s">
        <v>926</v>
      </c>
      <c r="B35" s="170"/>
      <c r="C35" s="135"/>
      <c r="D35" s="47"/>
      <c r="E35" s="45"/>
      <c r="F35" s="45"/>
      <c r="G35" s="45"/>
      <c r="H35" s="45"/>
      <c r="I35" s="45"/>
      <c r="J35" s="333" t="str">
        <f t="shared" si="12"/>
        <v/>
      </c>
      <c r="K35" s="145"/>
    </row>
    <row r="36" spans="1:11" ht="12.75" customHeight="1" x14ac:dyDescent="0.2">
      <c r="A36" s="40" t="s">
        <v>928</v>
      </c>
      <c r="B36" s="170"/>
      <c r="C36" s="758">
        <v>-84933749.340000004</v>
      </c>
      <c r="D36" s="755">
        <v>-60000000</v>
      </c>
      <c r="E36" s="743">
        <v>-60000000</v>
      </c>
      <c r="F36" s="743">
        <v>0</v>
      </c>
      <c r="G36" s="743">
        <v>-16428618.869999999</v>
      </c>
      <c r="H36" s="743">
        <f>E36/12*5</f>
        <v>-25000000</v>
      </c>
      <c r="I36" s="45">
        <f>H36-G36</f>
        <v>-8571381.1300000008</v>
      </c>
      <c r="J36" s="333">
        <f t="shared" si="12"/>
        <v>0.34285524520000005</v>
      </c>
      <c r="K36" s="745">
        <f>D36</f>
        <v>-60000000</v>
      </c>
    </row>
    <row r="37" spans="1:11" ht="12.75" customHeight="1" x14ac:dyDescent="0.2">
      <c r="A37" s="93" t="s">
        <v>917</v>
      </c>
      <c r="B37" s="234"/>
      <c r="C37" s="549">
        <f t="shared" ref="C37:H37" si="14">SUM(C32:C34)+C36</f>
        <v>-87756567.329999998</v>
      </c>
      <c r="D37" s="75">
        <f t="shared" si="14"/>
        <v>240000000</v>
      </c>
      <c r="E37" s="74">
        <f t="shared" si="14"/>
        <v>240000000</v>
      </c>
      <c r="F37" s="74">
        <f t="shared" si="14"/>
        <v>-1132176.6000000825</v>
      </c>
      <c r="G37" s="74">
        <f t="shared" si="14"/>
        <v>-19864011.820000097</v>
      </c>
      <c r="H37" s="74">
        <f t="shared" si="14"/>
        <v>100000000</v>
      </c>
      <c r="I37" s="74">
        <f>H37-G37</f>
        <v>119864011.8200001</v>
      </c>
      <c r="J37" s="334">
        <f t="shared" si="12"/>
        <v>1.198640118200001</v>
      </c>
      <c r="K37" s="146">
        <f>SUM(K32:K34)+K36</f>
        <v>240000000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930</v>
      </c>
      <c r="B39" s="170"/>
      <c r="C39" s="110">
        <f t="shared" ref="C39:H39" si="15">C18+C28+C37</f>
        <v>57108805.099997446</v>
      </c>
      <c r="D39" s="52">
        <f t="shared" si="15"/>
        <v>6581595.5600001812</v>
      </c>
      <c r="E39" s="51">
        <f t="shared" si="15"/>
        <v>7135591.5599992275</v>
      </c>
      <c r="F39" s="51">
        <f t="shared" si="15"/>
        <v>175330761.94333345</v>
      </c>
      <c r="G39" s="51">
        <f t="shared" si="15"/>
        <v>297706950.82000273</v>
      </c>
      <c r="H39" s="51">
        <f t="shared" si="15"/>
        <v>2973163.1499999762</v>
      </c>
      <c r="I39" s="330"/>
      <c r="J39" s="330"/>
      <c r="K39" s="195">
        <f>K18+K28+K37</f>
        <v>7135591.5599992275</v>
      </c>
    </row>
    <row r="40" spans="1:11" ht="12.75" customHeight="1" x14ac:dyDescent="0.2">
      <c r="A40" s="40" t="s">
        <v>518</v>
      </c>
      <c r="B40" s="170"/>
      <c r="C40" s="758">
        <v>4526278.9000000004</v>
      </c>
      <c r="D40" s="755">
        <v>159547799.88999999</v>
      </c>
      <c r="E40" s="743">
        <v>61635084</v>
      </c>
      <c r="F40" s="274"/>
      <c r="G40" s="743">
        <v>61635083.999997444</v>
      </c>
      <c r="H40" s="45">
        <f>IF(E40=0, D40, E40)</f>
        <v>61635084</v>
      </c>
      <c r="I40" s="274"/>
      <c r="J40" s="274"/>
      <c r="K40" s="388">
        <f>G40</f>
        <v>61635083.999997444</v>
      </c>
    </row>
    <row r="41" spans="1:11" ht="12.75" customHeight="1" x14ac:dyDescent="0.2">
      <c r="A41" s="130" t="s">
        <v>55</v>
      </c>
      <c r="B41" s="120"/>
      <c r="C41" s="226">
        <f>C39+C40</f>
        <v>61635083.999997444</v>
      </c>
      <c r="D41" s="117">
        <f>D39+D40</f>
        <v>166129395.45000017</v>
      </c>
      <c r="E41" s="116">
        <f>E39+E40</f>
        <v>68770675.559999228</v>
      </c>
      <c r="F41" s="275"/>
      <c r="G41" s="116">
        <f>G39+G40</f>
        <v>359342034.82000017</v>
      </c>
      <c r="H41" s="116">
        <f>H39+H40</f>
        <v>64608247.149999976</v>
      </c>
      <c r="I41" s="275"/>
      <c r="J41" s="275"/>
      <c r="K41" s="191">
        <f>K39+K40</f>
        <v>68770675.559996665</v>
      </c>
    </row>
    <row r="42" spans="1:11" ht="11.25" customHeight="1" x14ac:dyDescent="0.2">
      <c r="A42" s="58" t="s">
        <v>666</v>
      </c>
      <c r="B42" s="59"/>
      <c r="C42" s="63"/>
      <c r="D42" s="63"/>
      <c r="E42" s="63"/>
      <c r="F42" s="63"/>
      <c r="G42" s="63"/>
      <c r="H42" s="63"/>
      <c r="I42" s="63"/>
      <c r="J42" s="63"/>
      <c r="K42" s="63"/>
    </row>
    <row r="43" spans="1:11" ht="11.25" customHeight="1" x14ac:dyDescent="0.2">
      <c r="A43" s="81" t="s">
        <v>152</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9" type="noConversion"/>
  <printOptions horizontalCentered="1"/>
  <pageMargins left="0.35433070866141736" right="0.16" top="0.78740157480314965" bottom="0.61" header="0.51181102362204722" footer="0.43307086614173229"/>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75"/>
  <sheetViews>
    <sheetView showGridLines="0" zoomScaleNormal="100" workbookViewId="0">
      <pane xSplit="2" ySplit="4" topLeftCell="C5" activePane="bottomRight" state="frozen"/>
      <selection pane="topRight"/>
      <selection pane="bottomLeft"/>
      <selection pane="bottomRight" activeCell="D14" sqref="D14"/>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42" t="str">
        <f>muni&amp; " - "&amp;S71G&amp; " - "&amp;date</f>
        <v>LIM354 Polokwane - Supporting Table SC1 Material variance explanations  - M05 November</v>
      </c>
      <c r="B1" s="1042"/>
      <c r="C1" s="1042"/>
      <c r="D1" s="1042"/>
      <c r="E1" s="1042"/>
    </row>
    <row r="2" spans="1:5" x14ac:dyDescent="0.2">
      <c r="A2" s="1024" t="str">
        <f>head27</f>
        <v>Ref</v>
      </c>
      <c r="B2" s="1031" t="str">
        <f>desc</f>
        <v>Description</v>
      </c>
      <c r="C2" s="270"/>
      <c r="D2" s="270"/>
      <c r="E2" s="276"/>
    </row>
    <row r="3" spans="1:5" x14ac:dyDescent="0.2">
      <c r="A3" s="1035"/>
      <c r="B3" s="1032"/>
      <c r="C3" s="160" t="s">
        <v>447</v>
      </c>
      <c r="D3" s="160" t="s">
        <v>510</v>
      </c>
      <c r="E3" s="28" t="s">
        <v>511</v>
      </c>
    </row>
    <row r="4" spans="1:5" x14ac:dyDescent="0.2">
      <c r="A4" s="120"/>
      <c r="B4" s="35" t="s">
        <v>687</v>
      </c>
      <c r="C4" s="188"/>
      <c r="D4" s="158"/>
      <c r="E4" s="32"/>
    </row>
    <row r="5" spans="1:5" ht="11.25" customHeight="1" x14ac:dyDescent="0.2">
      <c r="A5" s="187">
        <v>1</v>
      </c>
      <c r="B5" s="181" t="str">
        <f>'C4-FinPerf RE'!A5</f>
        <v>Revenue By Source</v>
      </c>
      <c r="C5" s="180"/>
      <c r="D5" s="180"/>
      <c r="E5" s="180"/>
    </row>
    <row r="6" spans="1:5" ht="11.25" customHeight="1" x14ac:dyDescent="0.2">
      <c r="A6" s="170"/>
      <c r="B6" s="768" t="str">
        <f>'C4-FinPerf RE'!A6</f>
        <v>Property rates</v>
      </c>
      <c r="C6" s="990">
        <f>'C4-FinPerf RE'!J6</f>
        <v>5.9966102349999995E-2</v>
      </c>
      <c r="D6" s="768" t="s">
        <v>1632</v>
      </c>
      <c r="E6" s="768" t="s">
        <v>1632</v>
      </c>
    </row>
    <row r="7" spans="1:5" ht="40.799999999999997" x14ac:dyDescent="0.2">
      <c r="A7" s="170"/>
      <c r="B7" s="768" t="str">
        <f>'C4-FinPerf RE'!A7</f>
        <v>Service charges - electricity revenue</v>
      </c>
      <c r="C7" s="990">
        <f>'C4-FinPerf RE'!J7</f>
        <v>-0.13949654353264215</v>
      </c>
      <c r="D7" s="991" t="s">
        <v>1633</v>
      </c>
      <c r="E7" s="768"/>
    </row>
    <row r="8" spans="1:5" ht="11.25" customHeight="1" x14ac:dyDescent="0.2">
      <c r="A8" s="170"/>
      <c r="B8" s="768" t="str">
        <f>'C4-FinPerf RE'!A8</f>
        <v>Service charges - water revenue</v>
      </c>
      <c r="C8" s="990">
        <f>'C4-FinPerf RE'!J8</f>
        <v>-5.8937633090554435E-2</v>
      </c>
      <c r="D8" s="991" t="s">
        <v>1632</v>
      </c>
      <c r="E8" s="768" t="s">
        <v>1632</v>
      </c>
    </row>
    <row r="9" spans="1:5" ht="11.25" customHeight="1" x14ac:dyDescent="0.2">
      <c r="A9" s="170"/>
      <c r="B9" s="768" t="str">
        <f>'C4-FinPerf RE'!A9</f>
        <v>Service charges - sanitation revenue</v>
      </c>
      <c r="C9" s="990">
        <f>'C4-FinPerf RE'!J9</f>
        <v>-0.23601850023381396</v>
      </c>
      <c r="D9" s="991"/>
      <c r="E9" s="768"/>
    </row>
    <row r="10" spans="1:5" ht="11.25" customHeight="1" x14ac:dyDescent="0.2">
      <c r="A10" s="170"/>
      <c r="B10" s="768" t="str">
        <f>'C4-FinPerf RE'!A10</f>
        <v>Service charges - refuse revenue</v>
      </c>
      <c r="C10" s="990">
        <f>'C4-FinPerf RE'!J10</f>
        <v>-0.11832200065752917</v>
      </c>
      <c r="D10" s="991"/>
      <c r="E10" s="768"/>
    </row>
    <row r="11" spans="1:5" ht="11.25" customHeight="1" x14ac:dyDescent="0.2">
      <c r="A11" s="170"/>
      <c r="B11" s="768" t="str">
        <f>'C4-FinPerf RE'!A11</f>
        <v>Service charges - other</v>
      </c>
      <c r="C11" s="990" t="str">
        <f>'C4-FinPerf RE'!J11</f>
        <v/>
      </c>
      <c r="D11" s="991"/>
      <c r="E11" s="768"/>
    </row>
    <row r="12" spans="1:5" ht="20.399999999999999" x14ac:dyDescent="0.2">
      <c r="A12" s="170"/>
      <c r="B12" s="768" t="str">
        <f>'C4-FinPerf RE'!A12</f>
        <v>Rental of facilities and equipment</v>
      </c>
      <c r="C12" s="990">
        <f>'C4-FinPerf RE'!J12</f>
        <v>-0.69277416453003904</v>
      </c>
      <c r="D12" s="991" t="s">
        <v>1634</v>
      </c>
      <c r="E12" s="768"/>
    </row>
    <row r="13" spans="1:5" ht="11.25" customHeight="1" x14ac:dyDescent="0.2">
      <c r="A13" s="170"/>
      <c r="B13" s="768" t="str">
        <f>'C4-FinPerf RE'!A13</f>
        <v>Interest earned - external investments</v>
      </c>
      <c r="C13" s="990">
        <f>'C4-FinPerf RE'!J13</f>
        <v>-0.45931721741714049</v>
      </c>
      <c r="D13" s="991"/>
      <c r="E13" s="768"/>
    </row>
    <row r="14" spans="1:5" ht="30.6" x14ac:dyDescent="0.2">
      <c r="A14" s="170"/>
      <c r="B14" s="768" t="str">
        <f>'C4-FinPerf RE'!A14</f>
        <v>Interest earned - outstanding debtors</v>
      </c>
      <c r="C14" s="990">
        <f>'C4-FinPerf RE'!J14</f>
        <v>0.19404395565830407</v>
      </c>
      <c r="D14" s="991" t="s">
        <v>1635</v>
      </c>
      <c r="E14" s="768"/>
    </row>
    <row r="15" spans="1:5" ht="11.25" customHeight="1" x14ac:dyDescent="0.2">
      <c r="A15" s="170"/>
      <c r="B15" s="768" t="str">
        <f>'C4-FinPerf RE'!A15</f>
        <v>Dividends received</v>
      </c>
      <c r="C15" s="990" t="str">
        <f>'C4-FinPerf RE'!J15</f>
        <v/>
      </c>
      <c r="D15" s="991"/>
      <c r="E15" s="768"/>
    </row>
    <row r="16" spans="1:5" ht="11.25" customHeight="1" x14ac:dyDescent="0.2">
      <c r="A16" s="170"/>
      <c r="B16" s="768" t="str">
        <f>'C4-FinPerf RE'!A16</f>
        <v>Fines, penalties and forfeits</v>
      </c>
      <c r="C16" s="990">
        <f>'C4-FinPerf RE'!J16</f>
        <v>6.2264482609547686E-2</v>
      </c>
      <c r="D16" s="991" t="s">
        <v>1636</v>
      </c>
      <c r="E16" s="768"/>
    </row>
    <row r="17" spans="1:5" ht="30.6" x14ac:dyDescent="0.2">
      <c r="A17" s="170"/>
      <c r="B17" s="768" t="str">
        <f>'C4-FinPerf RE'!A17</f>
        <v>Licences and permits</v>
      </c>
      <c r="C17" s="990">
        <f>'C4-FinPerf RE'!J17</f>
        <v>-0.31352843648196083</v>
      </c>
      <c r="D17" s="991" t="s">
        <v>1637</v>
      </c>
      <c r="E17" s="768"/>
    </row>
    <row r="18" spans="1:5" ht="11.25" customHeight="1" x14ac:dyDescent="0.2">
      <c r="A18" s="170"/>
      <c r="B18" s="768" t="str">
        <f>'C4-FinPerf RE'!A18</f>
        <v>Agency services</v>
      </c>
      <c r="C18" s="990">
        <f>'C4-FinPerf RE'!J18</f>
        <v>2.9333595793750304</v>
      </c>
      <c r="D18" s="991"/>
      <c r="E18" s="768"/>
    </row>
    <row r="19" spans="1:5" ht="11.25" customHeight="1" x14ac:dyDescent="0.2">
      <c r="A19" s="170"/>
      <c r="B19" s="768" t="str">
        <f>'C4-FinPerf RE'!A19</f>
        <v>Transfers and subsidies</v>
      </c>
      <c r="C19" s="990">
        <f>'C4-FinPerf RE'!J19</f>
        <v>-3.3949522315218743E-2</v>
      </c>
      <c r="D19" s="991"/>
      <c r="E19" s="768"/>
    </row>
    <row r="20" spans="1:5" ht="11.25" customHeight="1" x14ac:dyDescent="0.2">
      <c r="A20" s="170"/>
      <c r="B20" s="768" t="str">
        <f>'C4-FinPerf RE'!A20</f>
        <v>Other revenue</v>
      </c>
      <c r="C20" s="990">
        <f>'C4-FinPerf RE'!J20</f>
        <v>-0.89669725538201506</v>
      </c>
      <c r="D20" s="768"/>
      <c r="E20" s="768"/>
    </row>
    <row r="21" spans="1:5" ht="11.25" customHeight="1" x14ac:dyDescent="0.2">
      <c r="A21" s="170"/>
      <c r="B21" s="768"/>
      <c r="C21" s="990"/>
      <c r="D21" s="768"/>
      <c r="E21" s="768"/>
    </row>
    <row r="22" spans="1:5" ht="11.25" customHeight="1" x14ac:dyDescent="0.2">
      <c r="A22" s="170">
        <v>2</v>
      </c>
      <c r="B22" s="389" t="str">
        <f>'C4-FinPerf RE'!A24</f>
        <v>Expenditure By Type</v>
      </c>
      <c r="C22" s="390"/>
      <c r="D22" s="390"/>
      <c r="E22" s="390"/>
    </row>
    <row r="23" spans="1:5" ht="20.399999999999999" x14ac:dyDescent="0.2">
      <c r="A23" s="170"/>
      <c r="B23" s="768" t="str">
        <f>'C4-FinPerf RE'!A25</f>
        <v>Employee related costs</v>
      </c>
      <c r="C23" s="990">
        <f>'C4-FinPerf RE'!J25</f>
        <v>-6.7505414094668592E-2</v>
      </c>
      <c r="D23" s="991" t="s">
        <v>1640</v>
      </c>
      <c r="E23" s="768"/>
    </row>
    <row r="24" spans="1:5" x14ac:dyDescent="0.2">
      <c r="A24" s="170"/>
      <c r="B24" s="768" t="str">
        <f>'C4-FinPerf RE'!A26</f>
        <v>Remuneration of councillors</v>
      </c>
      <c r="C24" s="990">
        <f>'C4-FinPerf RE'!J26</f>
        <v>-5.1261242901739973E-2</v>
      </c>
      <c r="D24" s="991" t="s">
        <v>1632</v>
      </c>
      <c r="E24" s="768" t="s">
        <v>1632</v>
      </c>
    </row>
    <row r="25" spans="1:5" ht="30.6" x14ac:dyDescent="0.2">
      <c r="A25" s="170"/>
      <c r="B25" s="768" t="str">
        <f>'C4-FinPerf RE'!A27</f>
        <v>Debt impairment</v>
      </c>
      <c r="C25" s="990" t="str">
        <f>'C4-FinPerf RE'!J27</f>
        <v/>
      </c>
      <c r="D25" s="991" t="s">
        <v>1638</v>
      </c>
      <c r="E25" s="768"/>
    </row>
    <row r="26" spans="1:5" ht="20.399999999999999" x14ac:dyDescent="0.2">
      <c r="A26" s="170"/>
      <c r="B26" s="768" t="str">
        <f>'C4-FinPerf RE'!A28</f>
        <v>Depreciation &amp; asset impairment</v>
      </c>
      <c r="C26" s="990" t="str">
        <f>'C4-FinPerf RE'!J28</f>
        <v/>
      </c>
      <c r="D26" s="991" t="s">
        <v>1639</v>
      </c>
      <c r="E26" s="768"/>
    </row>
    <row r="27" spans="1:5" ht="11.25" customHeight="1" x14ac:dyDescent="0.2">
      <c r="A27" s="170"/>
      <c r="B27" s="768" t="str">
        <f>'C4-FinPerf RE'!A29</f>
        <v>Finance charges</v>
      </c>
      <c r="C27" s="990">
        <f>'C4-FinPerf RE'!J29</f>
        <v>-8.4681396489744126E-2</v>
      </c>
      <c r="D27" s="768"/>
      <c r="E27" s="768"/>
    </row>
    <row r="28" spans="1:5" ht="11.25" customHeight="1" x14ac:dyDescent="0.2">
      <c r="A28" s="170"/>
      <c r="B28" s="768" t="str">
        <f>'C4-FinPerf RE'!A30</f>
        <v>Bulk purchases</v>
      </c>
      <c r="C28" s="990">
        <f>'C4-FinPerf RE'!J30</f>
        <v>0.10269856542412995</v>
      </c>
      <c r="D28" s="768"/>
      <c r="E28" s="768"/>
    </row>
    <row r="29" spans="1:5" ht="11.25" customHeight="1" x14ac:dyDescent="0.2">
      <c r="A29" s="170"/>
      <c r="B29" s="768" t="str">
        <f>'C4-FinPerf RE'!A31</f>
        <v>Other materials</v>
      </c>
      <c r="C29" s="990">
        <f>'C4-FinPerf RE'!J31</f>
        <v>-0.4745482040652273</v>
      </c>
      <c r="D29" s="991" t="s">
        <v>1641</v>
      </c>
      <c r="E29" s="768"/>
    </row>
    <row r="30" spans="1:5" ht="11.25" customHeight="1" x14ac:dyDescent="0.2">
      <c r="A30" s="170"/>
      <c r="B30" s="768" t="str">
        <f>'C4-FinPerf RE'!A32</f>
        <v>Contracted services</v>
      </c>
      <c r="C30" s="990">
        <f>'C4-FinPerf RE'!J32</f>
        <v>-0.22088612565763618</v>
      </c>
      <c r="D30" s="768"/>
      <c r="E30" s="768"/>
    </row>
    <row r="31" spans="1:5" ht="11.25" customHeight="1" x14ac:dyDescent="0.2">
      <c r="A31" s="170"/>
      <c r="B31" s="768" t="str">
        <f>'C4-FinPerf RE'!A33</f>
        <v>Transfers and subsidies</v>
      </c>
      <c r="C31" s="990">
        <f>'C4-FinPerf RE'!J33</f>
        <v>-0.38643520943637605</v>
      </c>
      <c r="D31" s="768"/>
      <c r="E31" s="768"/>
    </row>
    <row r="32" spans="1:5" ht="11.25" customHeight="1" x14ac:dyDescent="0.2">
      <c r="A32" s="170"/>
      <c r="B32" s="768" t="str">
        <f>'C4-FinPerf RE'!A34</f>
        <v>Other expenditure</v>
      </c>
      <c r="C32" s="990">
        <f>'C4-FinPerf RE'!J34</f>
        <v>-0.18995610466814009</v>
      </c>
      <c r="D32" s="768"/>
      <c r="E32" s="768"/>
    </row>
    <row r="33" spans="1:5" ht="11.25" customHeight="1" x14ac:dyDescent="0.2">
      <c r="A33" s="170"/>
      <c r="B33" s="768" t="str">
        <f>'C4-FinPerf RE'!A35</f>
        <v>Loss on disposal of PPE</v>
      </c>
      <c r="C33" s="990" t="str">
        <f>'C4-FinPerf RE'!J35</f>
        <v/>
      </c>
      <c r="D33" s="768"/>
      <c r="E33" s="768"/>
    </row>
    <row r="34" spans="1:5" ht="11.25" customHeight="1" x14ac:dyDescent="0.2">
      <c r="A34" s="170">
        <v>3</v>
      </c>
      <c r="B34" s="389" t="str">
        <f>RIGHT('C5-Capex'!A40,19)</f>
        <v>Capital Expenditure</v>
      </c>
      <c r="C34" s="390"/>
      <c r="D34" s="390"/>
      <c r="E34" s="390"/>
    </row>
    <row r="35" spans="1:5" ht="11.25" customHeight="1" x14ac:dyDescent="0.2">
      <c r="A35" s="170"/>
      <c r="B35" s="768" t="str">
        <f>'C5-Capex'!A24</f>
        <v>Vote 1 - Chef Operations Office</v>
      </c>
      <c r="C35" s="990">
        <f>'C5-Capex'!J24</f>
        <v>-0.57746538258396818</v>
      </c>
      <c r="D35" s="768" t="s">
        <v>1464</v>
      </c>
      <c r="E35" s="768"/>
    </row>
    <row r="36" spans="1:5" ht="11.25" customHeight="1" x14ac:dyDescent="0.2">
      <c r="A36" s="170"/>
      <c r="B36" s="768" t="str">
        <f>'C5-Capex'!A25</f>
        <v>Vote 2 - Municipal Manger Office</v>
      </c>
      <c r="C36" s="990" t="str">
        <f>'C5-Capex'!J25</f>
        <v/>
      </c>
      <c r="D36" s="768"/>
      <c r="E36" s="768"/>
    </row>
    <row r="37" spans="1:5" ht="11.25" customHeight="1" x14ac:dyDescent="0.2">
      <c r="A37" s="170"/>
      <c r="B37" s="768" t="str">
        <f>'C5-Capex'!A26</f>
        <v>Vote 3 - Water and Sanitation</v>
      </c>
      <c r="C37" s="990">
        <f>'C5-Capex'!J26</f>
        <v>-0.26596741107436039</v>
      </c>
      <c r="D37" s="768" t="s">
        <v>1642</v>
      </c>
      <c r="E37" s="768"/>
    </row>
    <row r="38" spans="1:5" ht="11.25" customHeight="1" x14ac:dyDescent="0.2">
      <c r="A38" s="170"/>
      <c r="B38" s="768" t="str">
        <f>'C5-Capex'!A27</f>
        <v>Vote 4 - Energy Services</v>
      </c>
      <c r="C38" s="990">
        <f>'C5-Capex'!J27</f>
        <v>-0.65447341160839612</v>
      </c>
      <c r="D38" s="768"/>
      <c r="E38" s="768"/>
    </row>
    <row r="39" spans="1:5" ht="11.25" customHeight="1" x14ac:dyDescent="0.2">
      <c r="A39" s="170"/>
      <c r="B39" s="768" t="str">
        <f>'C5-Capex'!A28</f>
        <v>Vote 5 - Community Services</v>
      </c>
      <c r="C39" s="990">
        <f>'C5-Capex'!J28</f>
        <v>-0.73294632406501226</v>
      </c>
      <c r="D39" s="768"/>
      <c r="E39" s="768"/>
    </row>
    <row r="40" spans="1:5" ht="11.25" customHeight="1" x14ac:dyDescent="0.2">
      <c r="A40" s="170"/>
      <c r="B40" s="768" t="str">
        <f>'C5-Capex'!A29</f>
        <v>Vote 6 - Public Safety</v>
      </c>
      <c r="C40" s="990">
        <f>'C5-Capex'!J29</f>
        <v>-0.94978986294367584</v>
      </c>
      <c r="D40" s="768"/>
      <c r="E40" s="768"/>
    </row>
    <row r="41" spans="1:5" ht="11.25" customHeight="1" x14ac:dyDescent="0.2">
      <c r="A41" s="170"/>
      <c r="B41" s="768" t="str">
        <f>'C5-Capex'!A30</f>
        <v>Vote 7 - Corporate  and Shared Services</v>
      </c>
      <c r="C41" s="990">
        <f>'C5-Capex'!J30</f>
        <v>-0.5536757643889797</v>
      </c>
      <c r="D41" s="768"/>
      <c r="E41" s="768"/>
    </row>
    <row r="42" spans="1:5" ht="11.25" customHeight="1" x14ac:dyDescent="0.2">
      <c r="A42" s="170"/>
      <c r="B42" s="768" t="str">
        <f>'C5-Capex'!A31</f>
        <v>Vote 8 - Planning and Economic Development</v>
      </c>
      <c r="C42" s="990">
        <f>'C5-Capex'!J31</f>
        <v>-0.95146121022128527</v>
      </c>
      <c r="D42" s="768"/>
      <c r="E42" s="768"/>
    </row>
    <row r="43" spans="1:5" ht="11.25" customHeight="1" x14ac:dyDescent="0.2">
      <c r="A43" s="170"/>
      <c r="B43" s="768" t="str">
        <f>'C5-Capex'!A32</f>
        <v>Vote 9 - Budget and Treasury</v>
      </c>
      <c r="C43" s="990">
        <f>'C5-Capex'!J32</f>
        <v>-0.86055224836923072</v>
      </c>
      <c r="D43" s="768"/>
      <c r="E43" s="768"/>
    </row>
    <row r="44" spans="1:5" ht="11.25" customHeight="1" x14ac:dyDescent="0.2">
      <c r="A44" s="170"/>
      <c r="B44" s="768" t="str">
        <f>'C5-Capex'!A33</f>
        <v>Vote 10 - Transport Services</v>
      </c>
      <c r="C44" s="990">
        <f>'C5-Capex'!J33</f>
        <v>-0.73428995088458349</v>
      </c>
      <c r="D44" s="768"/>
      <c r="E44" s="768"/>
    </row>
    <row r="45" spans="1:5" ht="11.25" customHeight="1" x14ac:dyDescent="0.2">
      <c r="A45" s="170"/>
      <c r="B45" s="768" t="str">
        <f>'C5-Capex'!A34</f>
        <v>Vote 11 - Human Settlement</v>
      </c>
      <c r="C45" s="990" t="str">
        <f>'C5-Capex'!J34</f>
        <v/>
      </c>
      <c r="D45" s="768"/>
      <c r="E45" s="768"/>
    </row>
    <row r="46" spans="1:5" ht="11.25" customHeight="1" x14ac:dyDescent="0.2">
      <c r="A46" s="170"/>
      <c r="B46" s="768"/>
      <c r="C46" s="758"/>
      <c r="D46" s="768"/>
      <c r="E46" s="768"/>
    </row>
    <row r="47" spans="1:5" ht="11.25" customHeight="1" x14ac:dyDescent="0.2">
      <c r="A47" s="170"/>
      <c r="B47" s="768"/>
      <c r="C47" s="758"/>
      <c r="D47" s="768"/>
      <c r="E47" s="768"/>
    </row>
    <row r="48" spans="1:5" ht="11.25" customHeight="1" x14ac:dyDescent="0.2">
      <c r="A48" s="170">
        <v>4</v>
      </c>
      <c r="B48" s="389" t="s">
        <v>83</v>
      </c>
      <c r="C48" s="390"/>
      <c r="D48" s="390"/>
      <c r="E48" s="390"/>
    </row>
    <row r="49" spans="1:5" ht="11.25" customHeight="1" x14ac:dyDescent="0.2">
      <c r="A49" s="170"/>
      <c r="B49" s="768"/>
      <c r="C49" s="758"/>
      <c r="D49" s="768"/>
      <c r="E49" s="768"/>
    </row>
    <row r="50" spans="1:5" ht="11.25" customHeight="1" x14ac:dyDescent="0.2">
      <c r="A50" s="170"/>
      <c r="B50" s="768"/>
      <c r="C50" s="758"/>
      <c r="D50" s="768"/>
      <c r="E50" s="768"/>
    </row>
    <row r="51" spans="1:5" ht="11.25" customHeight="1" x14ac:dyDescent="0.2">
      <c r="A51" s="170"/>
      <c r="B51" s="768"/>
      <c r="C51" s="758"/>
      <c r="D51" s="768"/>
      <c r="E51" s="768"/>
    </row>
    <row r="52" spans="1:5" ht="11.25" customHeight="1" x14ac:dyDescent="0.2">
      <c r="A52" s="170"/>
      <c r="B52" s="768"/>
      <c r="C52" s="758"/>
      <c r="D52" s="768"/>
      <c r="E52" s="768"/>
    </row>
    <row r="53" spans="1:5" ht="11.25" customHeight="1" x14ac:dyDescent="0.2">
      <c r="A53" s="170">
        <v>5</v>
      </c>
      <c r="B53" s="389" t="s">
        <v>84</v>
      </c>
      <c r="C53" s="390"/>
      <c r="D53" s="390"/>
      <c r="E53" s="390"/>
    </row>
    <row r="54" spans="1:5" ht="11.25" customHeight="1" x14ac:dyDescent="0.2">
      <c r="A54" s="170"/>
      <c r="B54" s="768"/>
      <c r="C54" s="758"/>
      <c r="D54" s="768"/>
      <c r="E54" s="768"/>
    </row>
    <row r="55" spans="1:5" ht="11.25" customHeight="1" x14ac:dyDescent="0.2">
      <c r="A55" s="170"/>
      <c r="B55" s="768"/>
      <c r="C55" s="758"/>
      <c r="D55" s="768"/>
      <c r="E55" s="768"/>
    </row>
    <row r="56" spans="1:5" ht="11.25" customHeight="1" x14ac:dyDescent="0.2">
      <c r="A56" s="170"/>
      <c r="B56" s="768"/>
      <c r="C56" s="758"/>
      <c r="D56" s="768"/>
      <c r="E56" s="768"/>
    </row>
    <row r="57" spans="1:5" ht="11.25" customHeight="1" x14ac:dyDescent="0.2">
      <c r="A57" s="170"/>
      <c r="B57" s="768"/>
      <c r="C57" s="758"/>
      <c r="D57" s="768"/>
      <c r="E57" s="768"/>
    </row>
    <row r="58" spans="1:5" ht="11.25" customHeight="1" x14ac:dyDescent="0.2">
      <c r="A58" s="170">
        <v>6</v>
      </c>
      <c r="B58" s="389" t="s">
        <v>85</v>
      </c>
      <c r="C58" s="391"/>
      <c r="D58" s="390"/>
      <c r="E58" s="390"/>
    </row>
    <row r="59" spans="1:5" ht="11.25" customHeight="1" x14ac:dyDescent="0.2">
      <c r="A59" s="170"/>
      <c r="B59" s="768"/>
      <c r="C59" s="758"/>
      <c r="D59" s="768"/>
      <c r="E59" s="768"/>
    </row>
    <row r="60" spans="1:5" ht="11.25" customHeight="1" x14ac:dyDescent="0.2">
      <c r="A60" s="170"/>
      <c r="B60" s="768"/>
      <c r="C60" s="758"/>
      <c r="D60" s="768"/>
      <c r="E60" s="768"/>
    </row>
    <row r="61" spans="1:5" ht="11.25" customHeight="1" x14ac:dyDescent="0.2">
      <c r="A61" s="170"/>
      <c r="B61" s="768"/>
      <c r="C61" s="758"/>
      <c r="D61" s="768"/>
      <c r="E61" s="768"/>
    </row>
    <row r="62" spans="1:5" ht="11.25" customHeight="1" x14ac:dyDescent="0.2">
      <c r="A62" s="170"/>
      <c r="B62" s="768"/>
      <c r="C62" s="758"/>
      <c r="D62" s="768"/>
      <c r="E62" s="768"/>
    </row>
    <row r="63" spans="1:5" ht="11.25" customHeight="1" x14ac:dyDescent="0.2">
      <c r="A63" s="170">
        <v>7</v>
      </c>
      <c r="B63" s="389" t="s">
        <v>86</v>
      </c>
      <c r="C63" s="391"/>
      <c r="D63" s="390"/>
      <c r="E63" s="390"/>
    </row>
    <row r="64" spans="1:5" ht="11.25" customHeight="1" x14ac:dyDescent="0.2">
      <c r="A64" s="170"/>
      <c r="B64" s="768"/>
      <c r="C64" s="758"/>
      <c r="D64" s="768"/>
      <c r="E64" s="768"/>
    </row>
    <row r="65" spans="1:5" ht="11.25" customHeight="1" x14ac:dyDescent="0.2">
      <c r="A65" s="170"/>
      <c r="B65" s="768"/>
      <c r="C65" s="758"/>
      <c r="D65" s="768"/>
      <c r="E65" s="768"/>
    </row>
    <row r="66" spans="1:5" ht="11.25" customHeight="1" x14ac:dyDescent="0.2">
      <c r="A66" s="170"/>
      <c r="B66" s="768"/>
      <c r="C66" s="758"/>
      <c r="D66" s="768"/>
      <c r="E66" s="768"/>
    </row>
    <row r="67" spans="1:5" ht="11.25" customHeight="1" x14ac:dyDescent="0.2">
      <c r="A67" s="170"/>
      <c r="B67" s="768"/>
      <c r="C67" s="758"/>
      <c r="D67" s="768"/>
      <c r="E67" s="768"/>
    </row>
    <row r="68" spans="1:5" ht="11.25" customHeight="1" x14ac:dyDescent="0.2">
      <c r="A68" s="120"/>
      <c r="B68" s="769"/>
      <c r="C68" s="770"/>
      <c r="D68" s="769"/>
      <c r="E68" s="769"/>
    </row>
    <row r="69" spans="1:5" ht="11.25" customHeight="1" x14ac:dyDescent="0.2">
      <c r="A69" s="79" t="str">
        <f>head27a</f>
        <v>References</v>
      </c>
      <c r="B69" s="68"/>
      <c r="C69" s="68"/>
      <c r="D69" s="68"/>
      <c r="E69" s="68"/>
    </row>
    <row r="70" spans="1:5" ht="11.25" customHeight="1" x14ac:dyDescent="0.2">
      <c r="A70" s="34" t="s">
        <v>879</v>
      </c>
    </row>
    <row r="71" spans="1:5" ht="11.25" customHeight="1" x14ac:dyDescent="0.2">
      <c r="A71" s="34" t="s">
        <v>880</v>
      </c>
    </row>
    <row r="72" spans="1:5" ht="11.25" customHeight="1" x14ac:dyDescent="0.2">
      <c r="A72" s="34" t="s">
        <v>881</v>
      </c>
    </row>
    <row r="73" spans="1:5" ht="11.25" customHeight="1" x14ac:dyDescent="0.2">
      <c r="A73" s="34" t="s">
        <v>882</v>
      </c>
    </row>
    <row r="74" spans="1:5" ht="11.25" customHeight="1" x14ac:dyDescent="0.2">
      <c r="A74" s="34" t="s">
        <v>883</v>
      </c>
    </row>
    <row r="75" spans="1:5" ht="11.25" customHeight="1" x14ac:dyDescent="0.2">
      <c r="A75" s="34" t="s">
        <v>448</v>
      </c>
    </row>
  </sheetData>
  <mergeCells count="3">
    <mergeCell ref="A2:A3"/>
    <mergeCell ref="B2:B3"/>
    <mergeCell ref="A1:E1"/>
  </mergeCells>
  <phoneticPr fontId="9" type="noConversion"/>
  <printOptions horizontalCentered="1"/>
  <pageMargins left="0.37" right="0.14000000000000001" top="0.79" bottom="0.6" header="0.51181102362204722" footer="0.41"/>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3" activePane="bottomRight" state="frozen"/>
      <selection pane="topRight"/>
      <selection pane="bottomLeft"/>
      <selection pane="bottomRight" activeCell="B40" sqref="B40"/>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42" t="str">
        <f>muni&amp; " - "&amp;S71H&amp; " - "&amp;Head57</f>
        <v>LIM354 Polokwane - Supporting Table SC2 Monthly Budget Statement - performance indicators   - M05 November</v>
      </c>
      <c r="B1" s="1042"/>
      <c r="C1" s="1042"/>
      <c r="D1" s="1042"/>
      <c r="E1" s="1042"/>
      <c r="F1" s="1042"/>
      <c r="G1" s="1042"/>
      <c r="H1" s="1042"/>
    </row>
    <row r="2" spans="1:11" ht="10.199999999999999" x14ac:dyDescent="0.2">
      <c r="A2" s="1047" t="s">
        <v>573</v>
      </c>
      <c r="B2" s="1031" t="s">
        <v>794</v>
      </c>
      <c r="C2" s="1024" t="str">
        <f>head27</f>
        <v>Ref</v>
      </c>
      <c r="D2" s="139" t="str">
        <f>Head1</f>
        <v>2018/19</v>
      </c>
      <c r="E2" s="246" t="str">
        <f>Head2</f>
        <v>Budget Year 2019/20</v>
      </c>
      <c r="F2" s="230"/>
      <c r="G2" s="230"/>
      <c r="H2" s="231"/>
    </row>
    <row r="3" spans="1:11" ht="20.399999999999999" x14ac:dyDescent="0.2">
      <c r="A3" s="1048"/>
      <c r="B3" s="1032"/>
      <c r="C3" s="1035"/>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530</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842</v>
      </c>
      <c r="B7" s="124" t="s">
        <v>87</v>
      </c>
      <c r="C7" s="175"/>
      <c r="D7" s="121">
        <f>IF(ISERROR((D42-D43)/D45),0,((D42-D43)/D45))</f>
        <v>-5.8462900564563288E-3</v>
      </c>
      <c r="E7" s="283">
        <f>IF(ISERROR((E42+E44)/E45),0,((E42+E44)/E45))</f>
        <v>9.0740364226328987E-2</v>
      </c>
      <c r="F7" s="125">
        <f>IF(ISERROR((F42+F44)/F45),0,((F42+F44)/F45))</f>
        <v>9.0797302568585508E-2</v>
      </c>
      <c r="G7" s="125">
        <f>IF(ISERROR((G42+G44)/G45),0,((G42+G44)/G45))</f>
        <v>2.3565687361122009E-2</v>
      </c>
      <c r="H7" s="277">
        <f>IF(ISERROR((H42+H44)/H45),0,((H42+H44)/H45))</f>
        <v>3.5296617172157548E-2</v>
      </c>
    </row>
    <row r="8" spans="1:11" ht="30" customHeight="1" x14ac:dyDescent="0.2">
      <c r="A8" s="127" t="s">
        <v>1074</v>
      </c>
      <c r="B8" s="124" t="s">
        <v>67</v>
      </c>
      <c r="C8" s="175"/>
      <c r="D8" s="121">
        <f>IF(ISERROR(D47/D46),0,(D47/D46))</f>
        <v>4.942785539509169E-3</v>
      </c>
      <c r="E8" s="283">
        <f>IF(ISERROR(E47/E46),0,(E47/E46))</f>
        <v>0.20114483168941544</v>
      </c>
      <c r="F8" s="125">
        <f>IF(ISERROR(F47/F46),0,(F47/F46))</f>
        <v>0.20757857308941852</v>
      </c>
      <c r="G8" s="125">
        <f>IF(ISERROR(G47/G46),0,(G47/G46))</f>
        <v>1.8137729671956211E-2</v>
      </c>
      <c r="H8" s="277">
        <f>IF(ISERROR(H47/H46),0,(H47/H46))</f>
        <v>0.20757857581082048</v>
      </c>
      <c r="J8" s="344"/>
    </row>
    <row r="9" spans="1:11" ht="12.75" customHeight="1" x14ac:dyDescent="0.2">
      <c r="A9" s="128" t="s">
        <v>758</v>
      </c>
      <c r="B9" s="124"/>
      <c r="C9" s="175"/>
      <c r="D9" s="121"/>
      <c r="E9" s="283"/>
      <c r="F9" s="125"/>
      <c r="G9" s="125"/>
      <c r="H9" s="277"/>
    </row>
    <row r="10" spans="1:11" ht="20.399999999999999" x14ac:dyDescent="0.2">
      <c r="A10" s="127" t="s">
        <v>7</v>
      </c>
      <c r="B10" s="124" t="s">
        <v>990</v>
      </c>
      <c r="C10" s="175"/>
      <c r="D10" s="121">
        <f>IF(ISERROR(D48/D49),0,(D48/D49))</f>
        <v>0.13869682955558607</v>
      </c>
      <c r="E10" s="283">
        <f>IF(ISERROR(E48/E49),0,(E48/E49))</f>
        <v>8.4314670157405555E-2</v>
      </c>
      <c r="F10" s="125">
        <f>IF(ISERROR(F48/F49),0,(F48/F49))</f>
        <v>8.5341183762360745E-2</v>
      </c>
      <c r="G10" s="125">
        <f>IF(ISERROR(G48/G49),0,(G48/G49))</f>
        <v>9.5063680652799673E-2</v>
      </c>
      <c r="H10" s="277">
        <f>IF(ISERROR(H48/H49),0,(H48/H49))</f>
        <v>8.5341183762360745E-2</v>
      </c>
    </row>
    <row r="11" spans="1:11" ht="12.75" customHeight="1" x14ac:dyDescent="0.2">
      <c r="A11" s="127" t="s">
        <v>757</v>
      </c>
      <c r="B11" s="124" t="s">
        <v>741</v>
      </c>
      <c r="C11" s="175"/>
      <c r="D11" s="121">
        <f>IF(ISERROR(D51/D50),0,(D51/D50))</f>
        <v>6.9092213541949957E-2</v>
      </c>
      <c r="E11" s="283">
        <f>IF(ISERROR(E51/E50),0,(E51/E50))</f>
        <v>0.10441842939533037</v>
      </c>
      <c r="F11" s="125">
        <f>IF(ISERROR(F51/F50),0,(F51/F50))</f>
        <v>0.10441842939533037</v>
      </c>
      <c r="G11" s="125">
        <f>IF(ISERROR(G51/G50),0,(G51/G50))</f>
        <v>6.9092213541949957E-2</v>
      </c>
      <c r="H11" s="277">
        <f>IF(ISERROR(H51/H50),0,(H51/H50))</f>
        <v>0.10441842939533037</v>
      </c>
    </row>
    <row r="12" spans="1:11" ht="12.75" customHeight="1" x14ac:dyDescent="0.2">
      <c r="A12" s="128" t="s">
        <v>759</v>
      </c>
      <c r="B12" s="124"/>
      <c r="C12" s="175"/>
      <c r="D12" s="121"/>
      <c r="E12" s="283"/>
      <c r="F12" s="125"/>
      <c r="G12" s="125"/>
      <c r="H12" s="277"/>
    </row>
    <row r="13" spans="1:11" ht="12.75" customHeight="1" x14ac:dyDescent="0.2">
      <c r="A13" s="127" t="s">
        <v>1075</v>
      </c>
      <c r="B13" s="124" t="s">
        <v>555</v>
      </c>
      <c r="C13" s="170">
        <v>1</v>
      </c>
      <c r="D13" s="121">
        <f>IF(ISERROR(D52/D53),0,(D52/D53))</f>
        <v>1.0235367248940626</v>
      </c>
      <c r="E13" s="283">
        <f>IF(ISERROR(E52/E53),0,(E52/E53))</f>
        <v>1.5406815715791609</v>
      </c>
      <c r="F13" s="125">
        <f>IF(ISERROR(F52/F53),0,(F52/F53))</f>
        <v>1.3303113999911369</v>
      </c>
      <c r="G13" s="125">
        <f>IF(ISERROR(G52/G53),0,(G52/G53))</f>
        <v>2.1151218195731434</v>
      </c>
      <c r="H13" s="277">
        <f>IF(ISERROR(H52/H53),0,(H52/H53))</f>
        <v>1.3303113999911369</v>
      </c>
    </row>
    <row r="14" spans="1:11" ht="12.75" customHeight="1" x14ac:dyDescent="0.2">
      <c r="A14" s="127" t="s">
        <v>760</v>
      </c>
      <c r="B14" s="124" t="s">
        <v>445</v>
      </c>
      <c r="C14" s="175"/>
      <c r="D14" s="121">
        <f>IF(ISERROR(D54/D53),0,(D54/D53))</f>
        <v>0.13684125687351978</v>
      </c>
      <c r="E14" s="283">
        <f>IF(ISERROR(E54/E53),0,(E54/E53))</f>
        <v>0.4702872970889706</v>
      </c>
      <c r="F14" s="125">
        <f>IF(ISERROR(F54/F53),0,(F54/F53))</f>
        <v>0.25991712550094676</v>
      </c>
      <c r="G14" s="125">
        <f>IF(ISERROR(G54/G53),0,(G54/G53))</f>
        <v>0.39111684097279481</v>
      </c>
      <c r="H14" s="277">
        <f>IF(ISERROR(H54/H53),0,(H54/H53))</f>
        <v>0.25991712550094676</v>
      </c>
    </row>
    <row r="15" spans="1:11" ht="12.75" customHeight="1" x14ac:dyDescent="0.2">
      <c r="A15" s="128" t="s">
        <v>446</v>
      </c>
      <c r="B15" s="124"/>
      <c r="C15" s="175"/>
      <c r="D15" s="121"/>
      <c r="E15" s="283"/>
      <c r="F15" s="125"/>
      <c r="G15" s="125"/>
      <c r="H15" s="277"/>
    </row>
    <row r="16" spans="1:11" ht="20.399999999999999" x14ac:dyDescent="0.2">
      <c r="A16" s="127" t="s">
        <v>513</v>
      </c>
      <c r="B16" s="124" t="s">
        <v>481</v>
      </c>
      <c r="C16" s="175"/>
      <c r="D16" s="121"/>
      <c r="E16" s="283"/>
      <c r="F16" s="125"/>
      <c r="G16" s="125"/>
      <c r="H16" s="277"/>
    </row>
    <row r="17" spans="1:8" ht="12.75" customHeight="1" x14ac:dyDescent="0.2">
      <c r="A17" s="127" t="s">
        <v>482</v>
      </c>
      <c r="B17" s="124" t="s">
        <v>660</v>
      </c>
      <c r="C17" s="175"/>
      <c r="D17" s="121">
        <f>IF(ISERROR(D59/D55),0,(D59/D55))</f>
        <v>0.35845195472777386</v>
      </c>
      <c r="E17" s="283">
        <f>IF(ISERROR(E59/E55),0,(E59/E55))</f>
        <v>0.1528181569774397</v>
      </c>
      <c r="F17" s="125">
        <f>IF(ISERROR(F59/F55),0,(F59/F55))</f>
        <v>0.1528181569774397</v>
      </c>
      <c r="G17" s="125">
        <f>IF(ISERROR(G59/G55),0,(G59/G55))</f>
        <v>1.008077891572382</v>
      </c>
      <c r="H17" s="277">
        <f>IF(ISERROR(H59/H55),0,(H59/H55))</f>
        <v>0.1528181569774397</v>
      </c>
    </row>
    <row r="18" spans="1:8" ht="20.399999999999999" x14ac:dyDescent="0.2">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814</v>
      </c>
      <c r="C20" s="175"/>
      <c r="D20" s="771"/>
      <c r="E20" s="772"/>
      <c r="F20" s="773"/>
      <c r="G20" s="773"/>
      <c r="H20" s="774"/>
    </row>
    <row r="21" spans="1:8" ht="12.75" customHeight="1" x14ac:dyDescent="0.2">
      <c r="A21" s="128" t="s">
        <v>526</v>
      </c>
      <c r="B21" s="124"/>
      <c r="C21" s="175"/>
      <c r="D21" s="121"/>
      <c r="E21" s="283"/>
      <c r="F21" s="125"/>
      <c r="G21" s="125"/>
      <c r="H21" s="277"/>
    </row>
    <row r="22" spans="1:8" ht="12.75" customHeight="1" x14ac:dyDescent="0.2">
      <c r="A22" s="127" t="s">
        <v>527</v>
      </c>
      <c r="B22" s="124" t="s">
        <v>528</v>
      </c>
      <c r="C22" s="175"/>
      <c r="D22" s="121"/>
      <c r="E22" s="283"/>
      <c r="F22" s="125"/>
      <c r="G22" s="125"/>
      <c r="H22" s="277"/>
    </row>
    <row r="23" spans="1:8" ht="12.75" customHeight="1" x14ac:dyDescent="0.2">
      <c r="A23" s="128" t="s">
        <v>529</v>
      </c>
      <c r="B23" s="124"/>
      <c r="C23" s="175"/>
      <c r="D23" s="121"/>
      <c r="E23" s="283"/>
      <c r="F23" s="125"/>
      <c r="G23" s="125"/>
      <c r="H23" s="277"/>
    </row>
    <row r="24" spans="1:8" ht="27.75" customHeight="1" x14ac:dyDescent="0.2">
      <c r="A24" s="127" t="s">
        <v>516</v>
      </c>
      <c r="B24" s="550" t="s">
        <v>68</v>
      </c>
      <c r="C24" s="252">
        <v>2</v>
      </c>
      <c r="D24" s="771"/>
      <c r="E24" s="772"/>
      <c r="F24" s="773"/>
      <c r="G24" s="773"/>
      <c r="H24" s="774"/>
    </row>
    <row r="25" spans="1:8" ht="27.75" customHeight="1" x14ac:dyDescent="0.2">
      <c r="A25" s="127" t="s">
        <v>515</v>
      </c>
      <c r="B25" s="550" t="s">
        <v>69</v>
      </c>
      <c r="C25" s="252">
        <v>2</v>
      </c>
      <c r="D25" s="771"/>
      <c r="E25" s="772"/>
      <c r="F25" s="773"/>
      <c r="G25" s="773"/>
      <c r="H25" s="774"/>
    </row>
    <row r="26" spans="1:8" ht="27.75" customHeight="1" x14ac:dyDescent="0.2">
      <c r="A26" s="127" t="s">
        <v>487</v>
      </c>
      <c r="B26" s="124" t="s">
        <v>779</v>
      </c>
      <c r="C26" s="175"/>
      <c r="D26" s="121">
        <f>IF(ISERROR(D40/D55),0,(D40/D55))</f>
        <v>0.28868989821097085</v>
      </c>
      <c r="E26" s="283">
        <f>IF(ISERROR(E40/E55),0,(E40/E55))</f>
        <v>0.24268783433350941</v>
      </c>
      <c r="F26" s="125">
        <f>IF(ISERROR(F40/F55),0,(F40/F55))</f>
        <v>0.24283829691344544</v>
      </c>
      <c r="G26" s="125">
        <f>IF(ISERROR(G40/G55),0,(G40/G55))</f>
        <v>0.2573223068441387</v>
      </c>
      <c r="H26" s="277">
        <f>IF(ISERROR(H40/H55),0,(H40/H55))</f>
        <v>0.24283829691344544</v>
      </c>
    </row>
    <row r="27" spans="1:8" ht="27.75" customHeight="1" x14ac:dyDescent="0.2">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778</v>
      </c>
      <c r="B28" s="124" t="s">
        <v>761</v>
      </c>
      <c r="C28" s="175"/>
      <c r="D28" s="121">
        <f>IF(ISERROR((D42+D44)/D55),0,((D42+D44)/D55))</f>
        <v>0.2677894507440351</v>
      </c>
      <c r="E28" s="283">
        <f>IF(ISERROR((E42+E44)/E55),0,((E42+E44)/E55))</f>
        <v>8.4863016382787981E-2</v>
      </c>
      <c r="F28" s="125">
        <f>IF(ISERROR((F42+F44)/F55),0,((F42+F44)/F55))</f>
        <v>8.4863019544187193E-2</v>
      </c>
      <c r="G28" s="125">
        <f>IF(ISERROR((G42+G44)/G55),0,((G42+G44)/G55))</f>
        <v>2.3325241063379316E-2</v>
      </c>
      <c r="H28" s="277">
        <f>IF(ISERROR((H42+H44)/H55),0,((H42+H44)/H55))</f>
        <v>3.2989719167723974E-2</v>
      </c>
    </row>
    <row r="29" spans="1:8" ht="12.75" customHeight="1" x14ac:dyDescent="0.2">
      <c r="A29" s="282" t="s">
        <v>671</v>
      </c>
      <c r="B29" s="129"/>
      <c r="C29" s="284"/>
      <c r="D29" s="121"/>
      <c r="E29" s="283"/>
      <c r="F29" s="125"/>
      <c r="G29" s="125"/>
      <c r="H29" s="277"/>
    </row>
    <row r="30" spans="1:8" ht="27.75" customHeight="1" x14ac:dyDescent="0.2">
      <c r="A30" s="127" t="s">
        <v>672</v>
      </c>
      <c r="B30" s="124" t="s">
        <v>810</v>
      </c>
      <c r="C30" s="175"/>
      <c r="D30" s="771"/>
      <c r="E30" s="772"/>
      <c r="F30" s="773"/>
      <c r="G30" s="773"/>
      <c r="H30" s="774"/>
    </row>
    <row r="31" spans="1:8" ht="20.399999999999999" x14ac:dyDescent="0.2">
      <c r="A31" s="127" t="s">
        <v>815</v>
      </c>
      <c r="B31" s="124" t="s">
        <v>504</v>
      </c>
      <c r="C31" s="175"/>
      <c r="D31" s="771"/>
      <c r="E31" s="772"/>
      <c r="F31" s="773"/>
      <c r="G31" s="773"/>
      <c r="H31" s="774"/>
    </row>
    <row r="32" spans="1:8" ht="20.399999999999999" x14ac:dyDescent="0.2">
      <c r="A32" s="278" t="s">
        <v>673</v>
      </c>
      <c r="B32" s="133" t="s">
        <v>455</v>
      </c>
      <c r="C32" s="179"/>
      <c r="D32" s="775"/>
      <c r="E32" s="776"/>
      <c r="F32" s="777"/>
      <c r="G32" s="777"/>
      <c r="H32" s="778"/>
    </row>
    <row r="33" spans="1:9" ht="12.75" customHeight="1" x14ac:dyDescent="0.2">
      <c r="A33" s="58" t="s">
        <v>666</v>
      </c>
      <c r="B33" s="68"/>
      <c r="C33" s="68"/>
      <c r="D33" s="126"/>
      <c r="E33" s="126"/>
      <c r="F33" s="126"/>
      <c r="G33" s="126"/>
      <c r="H33" s="126"/>
      <c r="I33" s="68"/>
    </row>
    <row r="34" spans="1:9" ht="12.75" customHeight="1" x14ac:dyDescent="0.2">
      <c r="A34" s="61" t="s">
        <v>517</v>
      </c>
      <c r="B34" s="68"/>
      <c r="C34" s="68"/>
      <c r="D34" s="68"/>
      <c r="E34" s="68"/>
      <c r="F34" s="68"/>
      <c r="G34" s="68"/>
      <c r="H34" s="68"/>
    </row>
    <row r="35" spans="1:9" ht="12.75" customHeight="1" x14ac:dyDescent="0.2">
      <c r="A35" s="122" t="s">
        <v>924</v>
      </c>
    </row>
    <row r="36" spans="1:9" ht="12.75" customHeight="1" x14ac:dyDescent="0.2"/>
    <row r="37" spans="1:9" ht="12.75" customHeight="1" x14ac:dyDescent="0.2">
      <c r="A37" s="341" t="s">
        <v>540</v>
      </c>
      <c r="B37" s="339"/>
      <c r="C37" s="339"/>
      <c r="D37" s="339"/>
      <c r="E37" s="339"/>
      <c r="F37" s="339"/>
      <c r="G37" s="339"/>
      <c r="H37" s="342"/>
    </row>
    <row r="38" spans="1:9" ht="12.75" customHeight="1" x14ac:dyDescent="0.2">
      <c r="A38" s="43" t="str">
        <f>'C6-FinPos'!A38</f>
        <v>Borrowing</v>
      </c>
      <c r="B38" s="68"/>
      <c r="C38" s="68"/>
      <c r="D38" s="85">
        <f>'C6-FinPos'!C38</f>
        <v>512977719</v>
      </c>
      <c r="E38" s="85">
        <f>'C6-FinPos'!D38</f>
        <v>783313000</v>
      </c>
      <c r="F38" s="85">
        <f>'C6-FinPos'!E38</f>
        <v>783313000</v>
      </c>
      <c r="G38" s="98">
        <f>'C6-FinPos'!F38</f>
        <v>512977719</v>
      </c>
      <c r="H38" s="49">
        <v>0</v>
      </c>
    </row>
    <row r="39" spans="1:9" ht="12.75" customHeight="1" x14ac:dyDescent="0.2">
      <c r="A39" s="43" t="s">
        <v>542</v>
      </c>
      <c r="B39" s="68"/>
      <c r="C39" s="68"/>
      <c r="D39" s="85">
        <f>'C6-FinPos'!C26</f>
        <v>15297314957</v>
      </c>
      <c r="E39" s="85">
        <f>'C6-FinPos'!D26</f>
        <v>17680247166.650002</v>
      </c>
      <c r="F39" s="85">
        <f>'C6-FinPos'!E26</f>
        <v>17488780454.760002</v>
      </c>
      <c r="G39" s="98">
        <f>'C6-FinPos'!F26</f>
        <v>16105222756.622499</v>
      </c>
      <c r="H39" s="49">
        <f>'C6-FinPos'!G26</f>
        <v>17488780454.760002</v>
      </c>
    </row>
    <row r="40" spans="1:9" ht="12.75" customHeight="1" x14ac:dyDescent="0.2">
      <c r="A40" s="43" t="str">
        <f>'C4-FinPerf RE'!A25</f>
        <v>Employee related costs</v>
      </c>
      <c r="B40" s="68"/>
      <c r="C40" s="68"/>
      <c r="D40" s="85">
        <f>'C4-FinPerf RE'!C25</f>
        <v>854297099</v>
      </c>
      <c r="E40" s="85">
        <f>'C4-FinPerf RE'!D25</f>
        <v>921191480</v>
      </c>
      <c r="F40" s="85">
        <f>'C4-FinPerf RE'!E25</f>
        <v>921762604</v>
      </c>
      <c r="G40" s="98">
        <f>'C4-FinPerf RE'!G25</f>
        <v>358141099.04999995</v>
      </c>
      <c r="H40" s="49">
        <f>'C4-FinPerf RE'!K25</f>
        <v>921762604</v>
      </c>
    </row>
    <row r="41" spans="1:9" ht="12.75" customHeight="1" x14ac:dyDescent="0.2">
      <c r="A41" s="43" t="str">
        <f>A27</f>
        <v>Repairs &amp; Maintenance</v>
      </c>
      <c r="B41" s="68"/>
      <c r="C41" s="68"/>
      <c r="D41" s="779"/>
      <c r="E41" s="779"/>
      <c r="F41" s="779"/>
      <c r="G41" s="779"/>
      <c r="H41" s="780"/>
    </row>
    <row r="42" spans="1:9" ht="12.75" customHeight="1" x14ac:dyDescent="0.2">
      <c r="A42" s="43" t="s">
        <v>543</v>
      </c>
      <c r="B42" s="68"/>
      <c r="C42" s="68"/>
      <c r="D42" s="85">
        <f>'C4-FinPerf RE'!C29</f>
        <v>62780466.380000003</v>
      </c>
      <c r="E42" s="85">
        <f>'C4-FinPerf RE'!D29</f>
        <v>85122000</v>
      </c>
      <c r="F42" s="85">
        <f>'C4-FinPerf RE'!E29</f>
        <v>85122000</v>
      </c>
      <c r="G42" s="98">
        <f>'C4-FinPerf RE'!G29</f>
        <v>32464062.57</v>
      </c>
      <c r="H42" s="49">
        <f>'C4-FinPerf RE'!K29</f>
        <v>85122000</v>
      </c>
    </row>
    <row r="43" spans="1:9" ht="12.75" customHeight="1" x14ac:dyDescent="0.2">
      <c r="A43" s="43" t="s">
        <v>88</v>
      </c>
      <c r="B43" s="68"/>
      <c r="C43" s="68"/>
      <c r="D43" s="85">
        <f>-'C7-CFlow'!C36</f>
        <v>84933749.340000004</v>
      </c>
      <c r="E43" s="85">
        <f>-'C7-CFlow'!D36</f>
        <v>60000000</v>
      </c>
      <c r="F43" s="85">
        <f>-'C7-CFlow'!E36</f>
        <v>60000000</v>
      </c>
      <c r="G43" s="98">
        <f>-'C7-CFlow'!G36</f>
        <v>16428618.869999999</v>
      </c>
      <c r="H43" s="49">
        <f>-'C7-CFlow'!K36</f>
        <v>60000000</v>
      </c>
    </row>
    <row r="44" spans="1:9" ht="12.75" customHeight="1" x14ac:dyDescent="0.2">
      <c r="A44" s="43" t="s">
        <v>544</v>
      </c>
      <c r="B44" s="68"/>
      <c r="C44" s="68"/>
      <c r="D44" s="85">
        <f>'C4-FinPerf RE'!C28</f>
        <v>729667597.54999995</v>
      </c>
      <c r="E44" s="85">
        <f>'C4-FinPerf RE'!D28</f>
        <v>236999988</v>
      </c>
      <c r="F44" s="85">
        <f>'C4-FinPerf RE'!E28</f>
        <v>237000000</v>
      </c>
      <c r="G44" s="98"/>
      <c r="H44" s="49">
        <f>'C4-FinPerf RE'!K26</f>
        <v>40099968</v>
      </c>
    </row>
    <row r="45" spans="1:9" ht="12.75" customHeight="1" x14ac:dyDescent="0.2">
      <c r="A45" s="43" t="s">
        <v>0</v>
      </c>
      <c r="B45" s="68"/>
      <c r="C45" s="68"/>
      <c r="D45" s="85">
        <f>'C4-FinPerf RE'!C36</f>
        <v>3789289061.2800002</v>
      </c>
      <c r="E45" s="85">
        <f>'C4-FinPerf RE'!D36</f>
        <v>3549930516</v>
      </c>
      <c r="F45" s="85">
        <f>'C4-FinPerf RE'!E36</f>
        <v>3547704512</v>
      </c>
      <c r="G45" s="98">
        <f>'C4-FinPerf RE'!G36</f>
        <v>1377598797.46</v>
      </c>
      <c r="H45" s="49">
        <f>'C4-FinPerf RE'!K36</f>
        <v>3547704512</v>
      </c>
    </row>
    <row r="46" spans="1:9" ht="12.75" customHeight="1" x14ac:dyDescent="0.2">
      <c r="A46" s="43" t="str">
        <f>'C5-Capex'!A40</f>
        <v>Total Capital Expenditure</v>
      </c>
      <c r="B46" s="68"/>
      <c r="C46" s="68"/>
      <c r="D46" s="85">
        <f>'C5-Capex'!C40</f>
        <v>1369152210.2073689</v>
      </c>
      <c r="E46" s="85">
        <f>'C5-Capex'!D40</f>
        <v>1889186000</v>
      </c>
      <c r="F46" s="85">
        <f>'C5-Capex'!E40</f>
        <v>1830632104</v>
      </c>
      <c r="G46" s="98">
        <f>'C5-Capex'!G40</f>
        <v>381153474.47200006</v>
      </c>
      <c r="H46" s="49">
        <f>'C5-Capex'!K40</f>
        <v>1830632080</v>
      </c>
    </row>
    <row r="47" spans="1:9" ht="12.75" customHeight="1" x14ac:dyDescent="0.2">
      <c r="A47" s="43" t="s">
        <v>547</v>
      </c>
      <c r="B47" s="68"/>
      <c r="C47" s="68"/>
      <c r="D47" s="85">
        <f>'C5-Capex'!C72</f>
        <v>6767425.7460000003</v>
      </c>
      <c r="E47" s="85">
        <f>'C5-Capex'!D72</f>
        <v>380000000</v>
      </c>
      <c r="F47" s="85">
        <f>'C5-Capex'!E72</f>
        <v>380000000</v>
      </c>
      <c r="G47" s="98">
        <f>'C5-Capex'!G72</f>
        <v>6913258.6835000003</v>
      </c>
      <c r="H47" s="49">
        <f>'C5-Capex'!K72</f>
        <v>380000000</v>
      </c>
    </row>
    <row r="48" spans="1:9" ht="12.75" customHeight="1" x14ac:dyDescent="0.2">
      <c r="A48" s="43" t="s">
        <v>545</v>
      </c>
      <c r="B48" s="68"/>
      <c r="C48" s="68"/>
      <c r="D48" s="85">
        <f>'C6-FinPos'!C30+'C6-FinPos'!C31+'C6-FinPos'!C33+'C6-FinPos'!C38</f>
        <v>1807691336</v>
      </c>
      <c r="E48" s="85">
        <f>'C6-FinPos'!D30+'C6-FinPos'!D31+'C6-FinPos'!D33+'C6-FinPos'!D38</f>
        <v>1342117000</v>
      </c>
      <c r="F48" s="85">
        <f>'C6-FinPos'!E30+'C6-FinPos'!E31+'C6-FinPos'!E33+'C6-FinPos'!E38</f>
        <v>1342117000</v>
      </c>
      <c r="G48" s="85">
        <f>'C6-FinPos'!F30+'C6-FinPos'!F31+'C6-FinPos'!F33+'C6-FinPos'!F38</f>
        <v>1358558982.3964999</v>
      </c>
      <c r="H48" s="49">
        <f>'C6-FinPos'!G30+'C6-FinPos'!G31+'C6-FinPos'!G33+'C6-FinPos'!G38</f>
        <v>1342117000</v>
      </c>
    </row>
    <row r="49" spans="1:8" ht="12.75" customHeight="1" x14ac:dyDescent="0.2">
      <c r="A49" s="43" t="s">
        <v>546</v>
      </c>
      <c r="B49" s="68"/>
      <c r="C49" s="68"/>
      <c r="D49" s="85">
        <f>'C6-FinPos'!C48</f>
        <v>13033400560</v>
      </c>
      <c r="E49" s="85">
        <f>'C6-FinPos'!D48</f>
        <v>15917953512.650002</v>
      </c>
      <c r="F49" s="85">
        <f>'C6-FinPos'!E48</f>
        <v>15726486800.760002</v>
      </c>
      <c r="G49" s="98">
        <f>'C6-FinPos'!F48</f>
        <v>14291041258.525999</v>
      </c>
      <c r="H49" s="49">
        <f>'C6-FinPos'!G48</f>
        <v>15726486800.760002</v>
      </c>
    </row>
    <row r="50" spans="1:8" ht="12.75" customHeight="1" x14ac:dyDescent="0.2">
      <c r="A50" s="43" t="str">
        <f>'C6-FinPos'!A47</f>
        <v>Reserves</v>
      </c>
      <c r="B50" s="68"/>
      <c r="C50" s="68"/>
      <c r="D50" s="85">
        <f>'C6-FinPos'!C47</f>
        <v>7424537335</v>
      </c>
      <c r="E50" s="85">
        <f>'C6-FinPos'!D47</f>
        <v>7501673838</v>
      </c>
      <c r="F50" s="85">
        <f>'C6-FinPos'!E47</f>
        <v>7501673838</v>
      </c>
      <c r="G50" s="98">
        <f>'C6-FinPos'!F47</f>
        <v>7424537335</v>
      </c>
      <c r="H50" s="49">
        <f>'C6-FinPos'!G47</f>
        <v>7501673838</v>
      </c>
    </row>
    <row r="51" spans="1:8" ht="12.75" customHeight="1" x14ac:dyDescent="0.2">
      <c r="A51" s="43" t="str">
        <f>'C6-FinPos'!A38</f>
        <v>Borrowing</v>
      </c>
      <c r="B51" s="68"/>
      <c r="C51" s="68"/>
      <c r="D51" s="85">
        <f>'C6-FinPos'!C38</f>
        <v>512977719</v>
      </c>
      <c r="E51" s="85">
        <f>'C6-FinPos'!D38</f>
        <v>783313000</v>
      </c>
      <c r="F51" s="85">
        <f>'C6-FinPos'!E38</f>
        <v>783313000</v>
      </c>
      <c r="G51" s="98">
        <f>'C6-FinPos'!F38</f>
        <v>512977719</v>
      </c>
      <c r="H51" s="49">
        <f>'C6-FinPos'!G38</f>
        <v>783313000</v>
      </c>
    </row>
    <row r="52" spans="1:8" ht="12.75" customHeight="1" x14ac:dyDescent="0.2">
      <c r="A52" s="43" t="str">
        <f>'C6-FinPos'!A6</f>
        <v>Current assets</v>
      </c>
      <c r="B52" s="68"/>
      <c r="C52" s="68"/>
      <c r="D52" s="85">
        <f>'C6-FinPos'!C13</f>
        <v>1390296268</v>
      </c>
      <c r="E52" s="85">
        <f>'C6-FinPos'!D13</f>
        <v>973408779.6500001</v>
      </c>
      <c r="F52" s="85">
        <f>'C6-FinPos'!E13</f>
        <v>840496063.76000023</v>
      </c>
      <c r="G52" s="98">
        <f>'C6-FinPos'!F13</f>
        <v>1943287733.0700002</v>
      </c>
      <c r="H52" s="49">
        <f>'C6-FinPos'!G13</f>
        <v>840496063.76000023</v>
      </c>
    </row>
    <row r="53" spans="1:8" ht="12.75" customHeight="1" x14ac:dyDescent="0.2">
      <c r="A53" s="43" t="str">
        <f>'C6-FinPos'!A29</f>
        <v>Current liabilities</v>
      </c>
      <c r="B53" s="68"/>
      <c r="C53" s="68"/>
      <c r="D53" s="85">
        <f>'C6-FinPos'!C35</f>
        <v>1358325729</v>
      </c>
      <c r="E53" s="85">
        <f>'C6-FinPos'!D35</f>
        <v>631804000</v>
      </c>
      <c r="F53" s="85">
        <f>'C6-FinPos'!E35</f>
        <v>631804000</v>
      </c>
      <c r="G53" s="98">
        <f>'C6-FinPos'!F35</f>
        <v>918759248.32649994</v>
      </c>
      <c r="H53" s="49">
        <f>'C6-FinPos'!G35</f>
        <v>631804000</v>
      </c>
    </row>
    <row r="54" spans="1:8" ht="12.75" customHeight="1" x14ac:dyDescent="0.2">
      <c r="A54" s="43" t="s">
        <v>548</v>
      </c>
      <c r="B54" s="68"/>
      <c r="C54" s="68"/>
      <c r="D54" s="85">
        <f>'C6-FinPos'!C7+'C6-FinPos'!C8</f>
        <v>185875000</v>
      </c>
      <c r="E54" s="85">
        <f>'C6-FinPos'!D7+'C6-FinPos'!D8</f>
        <v>297129395.44999999</v>
      </c>
      <c r="F54" s="85">
        <f>'C6-FinPos'!E7+'C6-FinPos'!E8</f>
        <v>164216679.56000018</v>
      </c>
      <c r="G54" s="98">
        <f>'C6-FinPos'!F7+'C6-FinPos'!F8</f>
        <v>359342214.82000017</v>
      </c>
      <c r="H54" s="49">
        <f>'C6-FinPos'!G7+'C6-FinPos'!G8</f>
        <v>164216679.56000018</v>
      </c>
    </row>
    <row r="55" spans="1:8" ht="12.75" customHeight="1" x14ac:dyDescent="0.2">
      <c r="A55" s="43" t="str">
        <f>'C4-FinPerf RE'!A22</f>
        <v>Total Revenue (excluding capital transfers and contributions)</v>
      </c>
      <c r="B55" s="68"/>
      <c r="C55" s="68"/>
      <c r="D55" s="85">
        <f>'C4-FinPerf RE'!C22</f>
        <v>2959220618.02</v>
      </c>
      <c r="E55" s="85">
        <f>'C4-FinPerf RE'!D22</f>
        <v>3795787632</v>
      </c>
      <c r="F55" s="85">
        <f>'C4-FinPerf RE'!E22</f>
        <v>3795787632</v>
      </c>
      <c r="G55" s="98">
        <f>'C4-FinPerf RE'!G22</f>
        <v>1391799659.51</v>
      </c>
      <c r="H55" s="49">
        <f>'C4-FinPerf RE'!K22</f>
        <v>3795787632</v>
      </c>
    </row>
    <row r="56" spans="1:8" ht="12.75" customHeight="1" x14ac:dyDescent="0.2">
      <c r="A56" s="43" t="str">
        <f>'C4-FinPerf RE'!A19</f>
        <v>Transfers and subsidies</v>
      </c>
      <c r="B56" s="68"/>
      <c r="C56" s="68"/>
      <c r="D56" s="85">
        <f>'C4-FinPerf RE'!C19</f>
        <v>951365113</v>
      </c>
      <c r="E56" s="85">
        <f>'C4-FinPerf RE'!D19</f>
        <v>1039367004</v>
      </c>
      <c r="F56" s="85">
        <f>'C4-FinPerf RE'!E19</f>
        <v>1039367004</v>
      </c>
      <c r="G56" s="98">
        <f>'C4-FinPerf RE'!G19</f>
        <v>418367079.45999998</v>
      </c>
      <c r="H56" s="49">
        <f>'C4-FinPerf RE'!K19</f>
        <v>1039367004</v>
      </c>
    </row>
    <row r="57" spans="1:8" ht="12.75" customHeight="1" x14ac:dyDescent="0.2">
      <c r="A57" s="43" t="str">
        <f>'C4-FinPerf RE'!A39</f>
        <v>Transfers and subsidies - capital (monetary allocations) (National / Provincial and District)</v>
      </c>
      <c r="B57" s="68"/>
      <c r="C57" s="68"/>
      <c r="D57" s="85">
        <f>'C4-FinPerf RE'!C39</f>
        <v>1086422713</v>
      </c>
      <c r="E57" s="85">
        <f>'C4-FinPerf RE'!D39</f>
        <v>1267135992</v>
      </c>
      <c r="F57" s="85">
        <f>'C4-FinPerf RE'!E39</f>
        <v>1267135992</v>
      </c>
      <c r="G57" s="98">
        <f>'C4-FinPerf RE'!G39</f>
        <v>344348012.64999998</v>
      </c>
      <c r="H57" s="49">
        <f>'C4-FinPerf RE'!K39</f>
        <v>1267135992</v>
      </c>
    </row>
    <row r="58" spans="1:8" ht="12.75" customHeight="1" x14ac:dyDescent="0.2">
      <c r="A58" s="43" t="s">
        <v>456</v>
      </c>
      <c r="B58" s="68"/>
      <c r="C58" s="68"/>
      <c r="D58" s="85">
        <f>'C7-CFlow'!C12+'C7-CFlow'!C36</f>
        <v>-58954459.422913581</v>
      </c>
      <c r="E58" s="85">
        <f>'C7-CFlow'!D12+'C7-CFlow'!D36</f>
        <v>43483380</v>
      </c>
      <c r="F58" s="85">
        <f>'C7-CFlow'!E12+'C7-CFlow'!E36</f>
        <v>43483380</v>
      </c>
      <c r="G58" s="98">
        <f>'C7-CFlow'!G16+'C7-CFlow'!G36</f>
        <v>-48892681.439999998</v>
      </c>
      <c r="H58" s="49">
        <f>'C7-CFlow'!K16+'C7-CFlow'!K36</f>
        <v>-144866634</v>
      </c>
    </row>
    <row r="59" spans="1:8" ht="12.75" customHeight="1" x14ac:dyDescent="0.2">
      <c r="A59" s="43" t="s">
        <v>541</v>
      </c>
      <c r="B59" s="68"/>
      <c r="C59" s="68"/>
      <c r="D59" s="85">
        <f>'C6-FinPos'!C9+'C6-FinPos'!C10+'C6-FinPos'!C11+'C6-FinPos'!C16</f>
        <v>1060738415</v>
      </c>
      <c r="E59" s="85">
        <f>'C6-FinPos'!D9+'C6-FinPos'!D10+'C6-FinPos'!D11+'C6-FinPos'!D16</f>
        <v>580065270.20000005</v>
      </c>
      <c r="F59" s="85">
        <f>'C6-FinPos'!E9+'C6-FinPos'!E10+'C6-FinPos'!E11+'C6-FinPos'!E16</f>
        <v>580065270.20000005</v>
      </c>
      <c r="G59" s="98">
        <f>'C6-FinPos'!F9+'C6-FinPos'!F10+'C6-FinPos'!F11+'C6-FinPos'!F16</f>
        <v>1403042466.25</v>
      </c>
      <c r="H59" s="49">
        <f>'C6-FinPos'!G9+'C6-FinPos'!G10+'C6-FinPos'!G11+'C6-FinPos'!G16</f>
        <v>580065270.20000005</v>
      </c>
    </row>
    <row r="60" spans="1:8" ht="12.75" customHeight="1" x14ac:dyDescent="0.2">
      <c r="A60" s="43" t="s">
        <v>457</v>
      </c>
      <c r="B60" s="68"/>
      <c r="C60" s="68"/>
      <c r="D60" s="85">
        <f>SUM('C4-FinPerf RE'!C7:C11)</f>
        <v>1405749530</v>
      </c>
      <c r="E60" s="85">
        <f>SUM('C4-FinPerf RE'!D7:D11)</f>
        <v>1766071008</v>
      </c>
      <c r="F60" s="85">
        <f>SUM('C4-FinPerf RE'!E7:E11)</f>
        <v>1766071008</v>
      </c>
      <c r="G60" s="98">
        <f>SUM('C4-FinPerf RE'!G7:G11)</f>
        <v>639401168.02999997</v>
      </c>
      <c r="H60" s="49"/>
    </row>
    <row r="61" spans="1:8" ht="12.75" customHeight="1" x14ac:dyDescent="0.2">
      <c r="A61" s="43" t="s">
        <v>458</v>
      </c>
      <c r="B61" s="68" t="s">
        <v>459</v>
      </c>
      <c r="C61" s="68"/>
      <c r="D61" s="85">
        <f>'C6-FinPos'!C7+'C6-FinPos'!C8+'C6-FinPos'!C17-'C6-FinPos'!C30</f>
        <v>185875000</v>
      </c>
      <c r="E61" s="85">
        <f>'C6-FinPos'!D7+'C6-FinPos'!D8+'C6-FinPos'!D17-'C6-FinPos'!D30</f>
        <v>297130395.44999999</v>
      </c>
      <c r="F61" s="85">
        <f>'C6-FinPos'!E7+'C6-FinPos'!E8+'C6-FinPos'!E17-'C6-FinPos'!E30</f>
        <v>164217679.56000018</v>
      </c>
      <c r="G61" s="98">
        <f>'C6-FinPos'!F7+'C6-FinPos'!F8+'C6-FinPos'!F17-'C6-FinPos'!F30</f>
        <v>359343214.82000029</v>
      </c>
      <c r="H61" s="49">
        <f>'C6-FinPos'!G7+'C6-FinPos'!G8+'C6-FinPos'!G17-'C6-FinPos'!G30</f>
        <v>164217679.56000018</v>
      </c>
    </row>
    <row r="62" spans="1:8" ht="12.75" customHeight="1" x14ac:dyDescent="0.2">
      <c r="A62" s="43" t="s">
        <v>747</v>
      </c>
      <c r="B62" s="68"/>
      <c r="C62" s="68"/>
      <c r="D62" s="779"/>
      <c r="E62" s="779"/>
      <c r="F62" s="779"/>
      <c r="G62" s="779"/>
      <c r="H62" s="780"/>
    </row>
    <row r="63" spans="1:8" ht="12.75" customHeight="1" x14ac:dyDescent="0.2">
      <c r="A63" s="43" t="s">
        <v>802</v>
      </c>
      <c r="B63" s="68"/>
      <c r="C63" s="68"/>
      <c r="D63" s="118">
        <f>'C6-FinPos'!C16</f>
        <v>0</v>
      </c>
      <c r="E63" s="118">
        <f>'C6-FinPos'!D16</f>
        <v>0</v>
      </c>
      <c r="F63" s="118">
        <f>'C6-FinPos'!E16</f>
        <v>0</v>
      </c>
      <c r="G63" s="328">
        <f>'C6-FinPos'!F16</f>
        <v>0</v>
      </c>
      <c r="H63" s="343">
        <f>'C6-FinPos'!G16</f>
        <v>0</v>
      </c>
    </row>
    <row r="64" spans="1:8" ht="12.75" customHeight="1" x14ac:dyDescent="0.2">
      <c r="A64" s="43" t="s">
        <v>746</v>
      </c>
      <c r="B64" s="68"/>
      <c r="C64" s="68"/>
      <c r="D64" s="781"/>
      <c r="E64" s="781"/>
      <c r="F64" s="781"/>
      <c r="G64" s="781"/>
      <c r="H64" s="782"/>
    </row>
    <row r="65" spans="1:8" ht="12.75" customHeight="1" x14ac:dyDescent="0.2">
      <c r="A65" s="92" t="s">
        <v>803</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9"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5" sqref="C5:L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42" t="str">
        <f>muni&amp; " - "&amp;S71I&amp; " - "&amp;Head57</f>
        <v>LIM354 Polokwane - Supporting Table SC3 Monthly Budget Statement - aged debtors - M05 November</v>
      </c>
      <c r="B1" s="1042"/>
      <c r="C1" s="1049"/>
      <c r="D1" s="1049"/>
      <c r="E1" s="1049"/>
      <c r="F1" s="1049"/>
      <c r="G1" s="1049"/>
      <c r="H1" s="1049"/>
      <c r="I1" s="1049"/>
      <c r="J1" s="1049"/>
      <c r="K1" s="1049"/>
      <c r="L1" s="1049"/>
      <c r="M1" s="1049"/>
      <c r="N1" s="163"/>
      <c r="O1" s="409"/>
    </row>
    <row r="2" spans="1:16" ht="13.35" customHeight="1" x14ac:dyDescent="0.2">
      <c r="A2" s="358" t="str">
        <f>desc</f>
        <v>Description</v>
      </c>
      <c r="B2" s="903"/>
      <c r="C2" s="1050" t="str">
        <f>Head2</f>
        <v>Budget Year 2019/20</v>
      </c>
      <c r="D2" s="1051"/>
      <c r="E2" s="1051"/>
      <c r="F2" s="1051"/>
      <c r="G2" s="1051"/>
      <c r="H2" s="1051"/>
      <c r="I2" s="1051"/>
      <c r="J2" s="1051"/>
      <c r="K2" s="1051"/>
      <c r="L2" s="1051"/>
      <c r="M2" s="1051"/>
      <c r="N2" s="1052"/>
      <c r="O2" s="921"/>
    </row>
    <row r="3" spans="1:16" ht="52.5" customHeight="1" x14ac:dyDescent="0.2">
      <c r="A3" s="910" t="s">
        <v>687</v>
      </c>
      <c r="B3" s="902" t="s">
        <v>756</v>
      </c>
      <c r="C3" s="906" t="s">
        <v>13</v>
      </c>
      <c r="D3" s="907" t="s">
        <v>14</v>
      </c>
      <c r="E3" s="907" t="s">
        <v>15</v>
      </c>
      <c r="F3" s="907" t="s">
        <v>16</v>
      </c>
      <c r="G3" s="907" t="s">
        <v>17</v>
      </c>
      <c r="H3" s="907" t="s">
        <v>18</v>
      </c>
      <c r="I3" s="907" t="s">
        <v>19</v>
      </c>
      <c r="J3" s="908" t="s">
        <v>20</v>
      </c>
      <c r="K3" s="909" t="s">
        <v>56</v>
      </c>
      <c r="L3" s="909" t="s">
        <v>1119</v>
      </c>
      <c r="M3" s="909" t="s">
        <v>1120</v>
      </c>
      <c r="N3" s="909" t="s">
        <v>1107</v>
      </c>
      <c r="O3" s="318"/>
    </row>
    <row r="4" spans="1:16" ht="10.199999999999999" x14ac:dyDescent="0.2">
      <c r="A4" s="88" t="s">
        <v>1095</v>
      </c>
      <c r="B4" s="170"/>
      <c r="C4" s="229"/>
      <c r="D4" s="166"/>
      <c r="E4" s="166"/>
      <c r="F4" s="166"/>
      <c r="G4" s="166"/>
      <c r="H4" s="166"/>
      <c r="I4" s="166"/>
      <c r="J4" s="288"/>
      <c r="K4" s="167"/>
      <c r="L4" s="167"/>
      <c r="M4" s="185"/>
      <c r="N4" s="185"/>
      <c r="O4" s="43"/>
    </row>
    <row r="5" spans="1:16" ht="12.75" customHeight="1" x14ac:dyDescent="0.2">
      <c r="A5" s="40" t="s">
        <v>1096</v>
      </c>
      <c r="B5" s="170">
        <v>1200</v>
      </c>
      <c r="C5" s="755">
        <v>31110597</v>
      </c>
      <c r="D5" s="755">
        <v>15678044</v>
      </c>
      <c r="E5" s="755">
        <v>16655528</v>
      </c>
      <c r="F5" s="755">
        <v>8502270</v>
      </c>
      <c r="G5" s="755">
        <v>7280509</v>
      </c>
      <c r="H5" s="755">
        <v>7008590</v>
      </c>
      <c r="I5" s="755">
        <v>24038392</v>
      </c>
      <c r="J5" s="755">
        <v>231106260</v>
      </c>
      <c r="K5" s="135">
        <f>SUM(C5:J5)</f>
        <v>341380190</v>
      </c>
      <c r="L5" s="135">
        <f>SUM(F5:J5)</f>
        <v>277936021</v>
      </c>
      <c r="M5" s="757"/>
      <c r="N5" s="757"/>
      <c r="O5" s="922"/>
    </row>
    <row r="6" spans="1:16" ht="12.75" customHeight="1" x14ac:dyDescent="0.2">
      <c r="A6" s="40" t="s">
        <v>1098</v>
      </c>
      <c r="B6" s="170">
        <v>1300</v>
      </c>
      <c r="C6" s="755">
        <v>58035687</v>
      </c>
      <c r="D6" s="755">
        <v>14942291</v>
      </c>
      <c r="E6" s="755">
        <v>8783330</v>
      </c>
      <c r="F6" s="755">
        <v>6440838</v>
      </c>
      <c r="G6" s="755">
        <v>5170757</v>
      </c>
      <c r="H6" s="755">
        <v>5720302</v>
      </c>
      <c r="I6" s="755">
        <v>19678976</v>
      </c>
      <c r="J6" s="755">
        <v>73357674</v>
      </c>
      <c r="K6" s="135">
        <f>SUM(C6:J6)</f>
        <v>192129855</v>
      </c>
      <c r="L6" s="135">
        <f t="shared" ref="L6:L12" si="0">SUM(F6:J6)</f>
        <v>110368547</v>
      </c>
      <c r="M6" s="757"/>
      <c r="N6" s="757"/>
      <c r="O6" s="922"/>
    </row>
    <row r="7" spans="1:16" ht="12.75" customHeight="1" x14ac:dyDescent="0.2">
      <c r="A7" s="40" t="s">
        <v>1097</v>
      </c>
      <c r="B7" s="170">
        <v>1400</v>
      </c>
      <c r="C7" s="755">
        <v>40017756</v>
      </c>
      <c r="D7" s="755">
        <v>21540685</v>
      </c>
      <c r="E7" s="755">
        <v>15222168</v>
      </c>
      <c r="F7" s="755">
        <v>13352351</v>
      </c>
      <c r="G7" s="755">
        <v>11949944</v>
      </c>
      <c r="H7" s="755">
        <v>9260417</v>
      </c>
      <c r="I7" s="755">
        <v>36615890</v>
      </c>
      <c r="J7" s="755">
        <v>163433912</v>
      </c>
      <c r="K7" s="135">
        <f t="shared" ref="K7:K13" si="1">SUM(C7:J7)</f>
        <v>311393123</v>
      </c>
      <c r="L7" s="135">
        <f t="shared" si="0"/>
        <v>234612514</v>
      </c>
      <c r="M7" s="757"/>
      <c r="N7" s="757"/>
      <c r="O7" s="922"/>
    </row>
    <row r="8" spans="1:16" ht="12.75" customHeight="1" x14ac:dyDescent="0.2">
      <c r="A8" s="40" t="s">
        <v>1099</v>
      </c>
      <c r="B8" s="170">
        <v>1500</v>
      </c>
      <c r="C8" s="755">
        <v>9032152</v>
      </c>
      <c r="D8" s="755">
        <v>4581384</v>
      </c>
      <c r="E8" s="755">
        <v>3142062</v>
      </c>
      <c r="F8" s="755">
        <v>2611514</v>
      </c>
      <c r="G8" s="755">
        <v>2475647</v>
      </c>
      <c r="H8" s="755">
        <v>2062275</v>
      </c>
      <c r="I8" s="755">
        <v>9309749</v>
      </c>
      <c r="J8" s="755">
        <v>26670267</v>
      </c>
      <c r="K8" s="135">
        <f t="shared" si="1"/>
        <v>59885050</v>
      </c>
      <c r="L8" s="135">
        <f t="shared" si="0"/>
        <v>43129452</v>
      </c>
      <c r="M8" s="757"/>
      <c r="N8" s="757"/>
      <c r="O8" s="922"/>
    </row>
    <row r="9" spans="1:16" ht="12.75" customHeight="1" x14ac:dyDescent="0.2">
      <c r="A9" s="40" t="s">
        <v>1100</v>
      </c>
      <c r="B9" s="170">
        <v>1600</v>
      </c>
      <c r="C9" s="755">
        <v>10303925</v>
      </c>
      <c r="D9" s="755">
        <v>5175802</v>
      </c>
      <c r="E9" s="755">
        <v>3785617</v>
      </c>
      <c r="F9" s="755">
        <v>3204752</v>
      </c>
      <c r="G9" s="755">
        <v>2929607</v>
      </c>
      <c r="H9" s="755">
        <v>2599084</v>
      </c>
      <c r="I9" s="755">
        <v>12323654</v>
      </c>
      <c r="J9" s="755">
        <v>51645121</v>
      </c>
      <c r="K9" s="135">
        <f t="shared" si="1"/>
        <v>91967562</v>
      </c>
      <c r="L9" s="135">
        <f>SUM(F9:J9)</f>
        <v>72702218</v>
      </c>
      <c r="M9" s="757"/>
      <c r="N9" s="757"/>
      <c r="O9" s="922"/>
    </row>
    <row r="10" spans="1:16" ht="12.75" customHeight="1" x14ac:dyDescent="0.2">
      <c r="A10" s="40" t="s">
        <v>1101</v>
      </c>
      <c r="B10" s="170">
        <v>1700</v>
      </c>
      <c r="C10" s="755">
        <v>1334</v>
      </c>
      <c r="D10" s="755">
        <v>1198</v>
      </c>
      <c r="E10" s="755">
        <v>724</v>
      </c>
      <c r="F10" s="755">
        <v>642</v>
      </c>
      <c r="G10" s="755">
        <v>615</v>
      </c>
      <c r="H10" s="755">
        <v>531</v>
      </c>
      <c r="I10" s="755">
        <v>1604</v>
      </c>
      <c r="J10" s="755">
        <v>196427</v>
      </c>
      <c r="K10" s="135">
        <f t="shared" si="1"/>
        <v>203075</v>
      </c>
      <c r="L10" s="135">
        <f>SUM(F10:J10)</f>
        <v>199819</v>
      </c>
      <c r="M10" s="757"/>
      <c r="N10" s="757"/>
      <c r="O10" s="922"/>
    </row>
    <row r="11" spans="1:16" ht="12.75" customHeight="1" x14ac:dyDescent="0.2">
      <c r="A11" s="40" t="s">
        <v>1102</v>
      </c>
      <c r="B11" s="170">
        <v>1810</v>
      </c>
      <c r="C11" s="755">
        <v>8757191</v>
      </c>
      <c r="D11" s="755">
        <v>8734342</v>
      </c>
      <c r="E11" s="755">
        <v>8320313</v>
      </c>
      <c r="F11" s="755">
        <v>7849538</v>
      </c>
      <c r="G11" s="755">
        <v>7599488</v>
      </c>
      <c r="H11" s="755">
        <v>6796196</v>
      </c>
      <c r="I11" s="755">
        <v>13273373</v>
      </c>
      <c r="J11" s="755">
        <v>199257302</v>
      </c>
      <c r="K11" s="135">
        <f t="shared" si="1"/>
        <v>260587743</v>
      </c>
      <c r="L11" s="135">
        <f t="shared" si="0"/>
        <v>234775897</v>
      </c>
      <c r="M11" s="757"/>
      <c r="N11" s="757"/>
      <c r="O11" s="922"/>
      <c r="P11" s="97"/>
    </row>
    <row r="12" spans="1:16" ht="12.75" customHeight="1" x14ac:dyDescent="0.2">
      <c r="A12" s="40" t="s">
        <v>1103</v>
      </c>
      <c r="B12" s="170">
        <v>1820</v>
      </c>
      <c r="C12" s="755">
        <v>0</v>
      </c>
      <c r="D12" s="755">
        <v>0</v>
      </c>
      <c r="E12" s="755">
        <v>0</v>
      </c>
      <c r="F12" s="755">
        <v>0</v>
      </c>
      <c r="G12" s="755">
        <v>0</v>
      </c>
      <c r="H12" s="755">
        <v>0</v>
      </c>
      <c r="I12" s="755">
        <v>0</v>
      </c>
      <c r="J12" s="755">
        <v>0</v>
      </c>
      <c r="K12" s="135">
        <f t="shared" si="1"/>
        <v>0</v>
      </c>
      <c r="L12" s="135">
        <f t="shared" si="0"/>
        <v>0</v>
      </c>
      <c r="M12" s="757"/>
      <c r="N12" s="757"/>
      <c r="O12" s="922"/>
      <c r="P12" s="97"/>
    </row>
    <row r="13" spans="1:16" ht="12.75" customHeight="1" x14ac:dyDescent="0.2">
      <c r="A13" s="40" t="s">
        <v>740</v>
      </c>
      <c r="B13" s="170">
        <v>1900</v>
      </c>
      <c r="C13" s="755">
        <v>-3266159</v>
      </c>
      <c r="D13" s="755">
        <v>-3294099</v>
      </c>
      <c r="E13" s="755">
        <v>4413479</v>
      </c>
      <c r="F13" s="755">
        <v>659192</v>
      </c>
      <c r="G13" s="755">
        <v>940267</v>
      </c>
      <c r="H13" s="755">
        <v>-55199</v>
      </c>
      <c r="I13" s="755">
        <v>-30166504</v>
      </c>
      <c r="J13" s="755">
        <v>122163290</v>
      </c>
      <c r="K13" s="135">
        <f t="shared" si="1"/>
        <v>91394267</v>
      </c>
      <c r="L13" s="135">
        <f>SUM(F13:J13)</f>
        <v>93541046</v>
      </c>
      <c r="M13" s="757"/>
      <c r="N13" s="757"/>
      <c r="O13" s="922"/>
    </row>
    <row r="14" spans="1:16" ht="12.75" customHeight="1" x14ac:dyDescent="0.2">
      <c r="A14" s="54" t="s">
        <v>1104</v>
      </c>
      <c r="B14" s="286">
        <v>2000</v>
      </c>
      <c r="C14" s="57">
        <f t="shared" ref="C14:N14" si="2">SUM(C5:C13)</f>
        <v>153992483</v>
      </c>
      <c r="D14" s="56">
        <f t="shared" si="2"/>
        <v>67359647</v>
      </c>
      <c r="E14" s="56">
        <f t="shared" si="2"/>
        <v>60323221</v>
      </c>
      <c r="F14" s="56">
        <f t="shared" si="2"/>
        <v>42621097</v>
      </c>
      <c r="G14" s="56">
        <f t="shared" si="2"/>
        <v>38346834</v>
      </c>
      <c r="H14" s="56">
        <f t="shared" si="2"/>
        <v>33392196</v>
      </c>
      <c r="I14" s="56">
        <f t="shared" si="2"/>
        <v>85075134</v>
      </c>
      <c r="J14" s="84">
        <f t="shared" si="2"/>
        <v>867830253</v>
      </c>
      <c r="K14" s="113">
        <f t="shared" si="2"/>
        <v>1348940865</v>
      </c>
      <c r="L14" s="113">
        <f>SUM(L5:L13)</f>
        <v>1067265514</v>
      </c>
      <c r="M14" s="55">
        <f t="shared" si="2"/>
        <v>0</v>
      </c>
      <c r="N14" s="55">
        <f t="shared" si="2"/>
        <v>0</v>
      </c>
      <c r="O14" s="923"/>
    </row>
    <row r="15" spans="1:16" ht="12.75" customHeight="1" x14ac:dyDescent="0.2">
      <c r="A15" s="316" t="str">
        <f>Head1&amp;" - totals only"</f>
        <v>2018/19 - totals only</v>
      </c>
      <c r="B15" s="370"/>
      <c r="C15" s="755">
        <v>9645963.2000000086</v>
      </c>
      <c r="D15" s="743">
        <v>41662674.379999995</v>
      </c>
      <c r="E15" s="743">
        <v>41242377.059999995</v>
      </c>
      <c r="F15" s="743">
        <v>28346868.859999999</v>
      </c>
      <c r="G15" s="743">
        <v>25969372.260000002</v>
      </c>
      <c r="H15" s="743">
        <v>81421303.189999998</v>
      </c>
      <c r="I15" s="743">
        <v>102369484.76000001</v>
      </c>
      <c r="J15" s="754">
        <v>658480918.98000002</v>
      </c>
      <c r="K15" s="805">
        <f>SUM(C15:J15)</f>
        <v>989138962.69000006</v>
      </c>
      <c r="L15" s="371">
        <f>SUM(F15:J15)</f>
        <v>896587948.04999995</v>
      </c>
      <c r="M15" s="804"/>
      <c r="N15" s="904"/>
      <c r="O15" s="50"/>
    </row>
    <row r="16" spans="1:16" ht="12.75" customHeight="1" x14ac:dyDescent="0.2">
      <c r="A16" s="88" t="s">
        <v>1108</v>
      </c>
      <c r="B16" s="170"/>
      <c r="C16" s="47"/>
      <c r="D16" s="45"/>
      <c r="E16" s="45"/>
      <c r="F16" s="45"/>
      <c r="G16" s="45"/>
      <c r="H16" s="45"/>
      <c r="I16" s="45"/>
      <c r="J16" s="109"/>
      <c r="K16" s="135"/>
      <c r="L16" s="654"/>
      <c r="M16" s="46"/>
      <c r="N16" s="905"/>
    </row>
    <row r="17" spans="1:14" ht="12.75" customHeight="1" x14ac:dyDescent="0.2">
      <c r="A17" s="40" t="s">
        <v>1105</v>
      </c>
      <c r="B17" s="170">
        <v>2200</v>
      </c>
      <c r="C17" s="755">
        <v>10086504</v>
      </c>
      <c r="D17" s="743">
        <v>4270248</v>
      </c>
      <c r="E17" s="743">
        <v>4104155</v>
      </c>
      <c r="F17" s="743">
        <v>3433156</v>
      </c>
      <c r="G17" s="743">
        <v>3153439</v>
      </c>
      <c r="H17" s="743">
        <v>3107768</v>
      </c>
      <c r="I17" s="743">
        <v>4935817</v>
      </c>
      <c r="J17" s="754">
        <v>56637699</v>
      </c>
      <c r="K17" s="135">
        <f>SUM(C17:J17)</f>
        <v>89728786</v>
      </c>
      <c r="L17" s="654">
        <f>SUM(F17:J17)</f>
        <v>71267879</v>
      </c>
      <c r="M17" s="757"/>
      <c r="N17" s="758"/>
    </row>
    <row r="18" spans="1:14" ht="12.75" customHeight="1" x14ac:dyDescent="0.2">
      <c r="A18" s="40" t="s">
        <v>1106</v>
      </c>
      <c r="B18" s="170">
        <v>2300</v>
      </c>
      <c r="C18" s="755">
        <v>74548419</v>
      </c>
      <c r="D18" s="743">
        <v>23016877</v>
      </c>
      <c r="E18" s="743">
        <v>12885068</v>
      </c>
      <c r="F18" s="743">
        <v>10880477</v>
      </c>
      <c r="G18" s="743">
        <v>9232949</v>
      </c>
      <c r="H18" s="743">
        <v>4815272</v>
      </c>
      <c r="I18" s="743">
        <v>16444744</v>
      </c>
      <c r="J18" s="754">
        <v>171648362</v>
      </c>
      <c r="K18" s="135">
        <f>SUM(C18:J18)</f>
        <v>323472168</v>
      </c>
      <c r="L18" s="654">
        <f>SUM(F18:J18)</f>
        <v>213021804</v>
      </c>
      <c r="M18" s="757"/>
      <c r="N18" s="758"/>
    </row>
    <row r="19" spans="1:14" ht="12.75" customHeight="1" x14ac:dyDescent="0.2">
      <c r="A19" s="40" t="s">
        <v>705</v>
      </c>
      <c r="B19" s="170">
        <v>2400</v>
      </c>
      <c r="C19" s="755">
        <v>69357560</v>
      </c>
      <c r="D19" s="743">
        <v>40072522</v>
      </c>
      <c r="E19" s="743">
        <v>43333998</v>
      </c>
      <c r="F19" s="743">
        <v>28307464</v>
      </c>
      <c r="G19" s="743">
        <v>25960446</v>
      </c>
      <c r="H19" s="743">
        <v>25469156</v>
      </c>
      <c r="I19" s="743">
        <v>63694573</v>
      </c>
      <c r="J19" s="754">
        <v>639544192</v>
      </c>
      <c r="K19" s="135">
        <f>SUM(C19:J19)</f>
        <v>935739911</v>
      </c>
      <c r="L19" s="654">
        <f>SUM(F19:J19)</f>
        <v>782975831</v>
      </c>
      <c r="M19" s="757"/>
      <c r="N19" s="758"/>
    </row>
    <row r="20" spans="1:14" ht="12.75" customHeight="1" x14ac:dyDescent="0.2">
      <c r="A20" s="40" t="s">
        <v>740</v>
      </c>
      <c r="B20" s="170">
        <v>2500</v>
      </c>
      <c r="C20" s="755">
        <v>0</v>
      </c>
      <c r="D20" s="743">
        <v>0</v>
      </c>
      <c r="E20" s="743">
        <v>0</v>
      </c>
      <c r="F20" s="743">
        <v>0</v>
      </c>
      <c r="G20" s="743">
        <v>0</v>
      </c>
      <c r="H20" s="743">
        <v>0</v>
      </c>
      <c r="I20" s="743">
        <v>0</v>
      </c>
      <c r="J20" s="754">
        <v>0</v>
      </c>
      <c r="K20" s="135">
        <f>SUM(C20:J20)</f>
        <v>0</v>
      </c>
      <c r="L20" s="654">
        <f>SUM(F20:J20)</f>
        <v>0</v>
      </c>
      <c r="M20" s="757"/>
      <c r="N20" s="759"/>
    </row>
    <row r="21" spans="1:14" ht="12.75" customHeight="1" x14ac:dyDescent="0.2">
      <c r="A21" s="54" t="s">
        <v>1109</v>
      </c>
      <c r="B21" s="286">
        <v>2600</v>
      </c>
      <c r="C21" s="57">
        <f t="shared" ref="C21:I21" si="3">SUM(C17:C20)</f>
        <v>153992483</v>
      </c>
      <c r="D21" s="56">
        <f t="shared" si="3"/>
        <v>67359647</v>
      </c>
      <c r="E21" s="56">
        <f t="shared" si="3"/>
        <v>60323221</v>
      </c>
      <c r="F21" s="56">
        <f t="shared" si="3"/>
        <v>42621097</v>
      </c>
      <c r="G21" s="56">
        <f t="shared" si="3"/>
        <v>38346834</v>
      </c>
      <c r="H21" s="56">
        <f t="shared" si="3"/>
        <v>33392196</v>
      </c>
      <c r="I21" s="56">
        <f t="shared" si="3"/>
        <v>85075134</v>
      </c>
      <c r="J21" s="84">
        <f>SUM(J17:J20)</f>
        <v>867830253</v>
      </c>
      <c r="K21" s="113">
        <f>SUM(K17:K20)</f>
        <v>1348940865</v>
      </c>
      <c r="L21" s="924">
        <f>SUM(L17:L20)</f>
        <v>1067265514</v>
      </c>
      <c r="M21" s="55">
        <f>SUM(M17:M20)</f>
        <v>0</v>
      </c>
      <c r="N21" s="245">
        <f>SUM(N17:N20)</f>
        <v>0</v>
      </c>
    </row>
    <row r="22" spans="1:14" ht="12.75" customHeight="1" x14ac:dyDescent="0.2">
      <c r="A22" s="58" t="s">
        <v>811</v>
      </c>
      <c r="B22" s="168"/>
      <c r="C22" s="50"/>
      <c r="D22" s="50"/>
      <c r="E22" s="50"/>
      <c r="F22" s="50"/>
      <c r="G22" s="50"/>
      <c r="H22" s="50"/>
      <c r="I22" s="50"/>
      <c r="J22" s="50"/>
      <c r="K22" s="50"/>
      <c r="L22" s="50"/>
      <c r="M22" s="50"/>
      <c r="N22" s="50"/>
    </row>
    <row r="23" spans="1:14" ht="10.199999999999999" x14ac:dyDescent="0.2">
      <c r="A23" s="81" t="s">
        <v>641</v>
      </c>
    </row>
    <row r="24" spans="1:14" ht="10.199999999999999" x14ac:dyDescent="0.2">
      <c r="A24" s="81" t="s">
        <v>549</v>
      </c>
    </row>
    <row r="25" spans="1:14" ht="10.199999999999999" x14ac:dyDescent="0.2">
      <c r="A25" s="81" t="s">
        <v>1110</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9"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K15"/>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42" t="str">
        <f>muni&amp; " - "&amp;S71J&amp; " - "&amp;Head57</f>
        <v>LIM354 Polokwane - Supporting Table SC4 Monthly Budget Statement - aged creditors  - M05 November</v>
      </c>
      <c r="B1" s="1042"/>
      <c r="C1" s="1042"/>
      <c r="D1" s="1042"/>
      <c r="E1" s="1042"/>
      <c r="F1" s="1042"/>
      <c r="G1" s="1042"/>
      <c r="H1" s="1042"/>
      <c r="I1" s="1042"/>
      <c r="J1" s="1042"/>
      <c r="K1" s="1042"/>
    </row>
    <row r="2" spans="1:12" ht="12.75" customHeight="1" x14ac:dyDescent="0.2">
      <c r="A2" s="1031" t="str">
        <f>desc</f>
        <v>Description</v>
      </c>
      <c r="B2" s="1053" t="s">
        <v>756</v>
      </c>
      <c r="C2" s="138" t="str">
        <f>Head2</f>
        <v>Budget Year 2019/20</v>
      </c>
      <c r="D2" s="138"/>
      <c r="E2" s="138"/>
      <c r="F2" s="138"/>
      <c r="G2" s="138"/>
      <c r="H2" s="138"/>
      <c r="I2" s="138"/>
      <c r="J2" s="138"/>
      <c r="K2" s="139"/>
      <c r="L2" s="1060" t="s">
        <v>79</v>
      </c>
    </row>
    <row r="3" spans="1:12" ht="12.75" customHeight="1" x14ac:dyDescent="0.2">
      <c r="A3" s="1066"/>
      <c r="B3" s="1054"/>
      <c r="C3" s="1056" t="s">
        <v>748</v>
      </c>
      <c r="D3" s="1058" t="s">
        <v>749</v>
      </c>
      <c r="E3" s="1058" t="s">
        <v>750</v>
      </c>
      <c r="F3" s="1058" t="s">
        <v>751</v>
      </c>
      <c r="G3" s="1058" t="s">
        <v>752</v>
      </c>
      <c r="H3" s="1058" t="s">
        <v>753</v>
      </c>
      <c r="I3" s="1058" t="s">
        <v>754</v>
      </c>
      <c r="J3" s="1063" t="s">
        <v>755</v>
      </c>
      <c r="K3" s="1065" t="s">
        <v>520</v>
      </c>
      <c r="L3" s="1061"/>
    </row>
    <row r="4" spans="1:12" ht="12.75" customHeight="1" x14ac:dyDescent="0.2">
      <c r="A4" s="35" t="s">
        <v>687</v>
      </c>
      <c r="B4" s="1055"/>
      <c r="C4" s="1057"/>
      <c r="D4" s="1059"/>
      <c r="E4" s="1059"/>
      <c r="F4" s="1059"/>
      <c r="G4" s="1059"/>
      <c r="H4" s="1059"/>
      <c r="I4" s="1059"/>
      <c r="J4" s="1064"/>
      <c r="K4" s="1055"/>
      <c r="L4" s="1062"/>
    </row>
    <row r="5" spans="1:12" ht="12.75" customHeight="1" x14ac:dyDescent="0.2">
      <c r="A5" s="88" t="s">
        <v>683</v>
      </c>
      <c r="B5" s="170"/>
      <c r="C5" s="289"/>
      <c r="D5" s="166"/>
      <c r="E5" s="166"/>
      <c r="F5" s="166"/>
      <c r="G5" s="166"/>
      <c r="H5" s="166"/>
      <c r="I5" s="166"/>
      <c r="J5" s="287"/>
      <c r="K5" s="167"/>
      <c r="L5" s="167"/>
    </row>
    <row r="6" spans="1:12" ht="12.75" customHeight="1" x14ac:dyDescent="0.2">
      <c r="A6" s="40" t="s">
        <v>706</v>
      </c>
      <c r="B6" s="170" t="s">
        <v>707</v>
      </c>
      <c r="C6" s="743">
        <v>63699731.789999999</v>
      </c>
      <c r="D6" s="743">
        <v>0</v>
      </c>
      <c r="E6" s="743">
        <v>0</v>
      </c>
      <c r="F6" s="743">
        <v>0</v>
      </c>
      <c r="G6" s="743">
        <v>0</v>
      </c>
      <c r="H6" s="743">
        <v>0</v>
      </c>
      <c r="I6" s="743">
        <v>0</v>
      </c>
      <c r="J6" s="743">
        <v>0</v>
      </c>
      <c r="K6" s="110">
        <f>SUM(C6:J6)</f>
        <v>63699731.789999999</v>
      </c>
      <c r="L6" s="758">
        <v>56736770.289999999</v>
      </c>
    </row>
    <row r="7" spans="1:12" ht="12.75" customHeight="1" x14ac:dyDescent="0.2">
      <c r="A7" s="40" t="s">
        <v>708</v>
      </c>
      <c r="B7" s="170" t="s">
        <v>709</v>
      </c>
      <c r="C7" s="743">
        <v>16918697.41</v>
      </c>
      <c r="D7" s="743">
        <v>15450020.199999999</v>
      </c>
      <c r="E7" s="743">
        <v>0</v>
      </c>
      <c r="F7" s="743">
        <v>0</v>
      </c>
      <c r="G7" s="743">
        <v>0</v>
      </c>
      <c r="H7" s="743">
        <v>0</v>
      </c>
      <c r="I7" s="743">
        <v>0</v>
      </c>
      <c r="J7" s="743">
        <v>0</v>
      </c>
      <c r="K7" s="110">
        <f t="shared" ref="K7:K13" si="0">SUM(C7:J7)</f>
        <v>32368717.609999999</v>
      </c>
      <c r="L7" s="758">
        <v>16830241.239999998</v>
      </c>
    </row>
    <row r="8" spans="1:12" ht="12.75" customHeight="1" x14ac:dyDescent="0.2">
      <c r="A8" s="40" t="s">
        <v>710</v>
      </c>
      <c r="B8" s="170" t="s">
        <v>711</v>
      </c>
      <c r="C8" s="743">
        <v>0</v>
      </c>
      <c r="D8" s="743">
        <v>0</v>
      </c>
      <c r="E8" s="743">
        <v>0</v>
      </c>
      <c r="F8" s="743">
        <v>0</v>
      </c>
      <c r="G8" s="743">
        <v>0</v>
      </c>
      <c r="H8" s="743">
        <v>0</v>
      </c>
      <c r="I8" s="743">
        <v>0</v>
      </c>
      <c r="J8" s="743">
        <v>0</v>
      </c>
      <c r="K8" s="110">
        <f t="shared" si="0"/>
        <v>0</v>
      </c>
      <c r="L8" s="758">
        <v>0</v>
      </c>
    </row>
    <row r="9" spans="1:12" ht="12.75" customHeight="1" x14ac:dyDescent="0.2">
      <c r="A9" s="40" t="s">
        <v>611</v>
      </c>
      <c r="B9" s="170" t="s">
        <v>612</v>
      </c>
      <c r="C9" s="743">
        <v>0</v>
      </c>
      <c r="D9" s="743">
        <v>0</v>
      </c>
      <c r="E9" s="743">
        <v>0</v>
      </c>
      <c r="F9" s="743">
        <v>0</v>
      </c>
      <c r="G9" s="743">
        <v>0</v>
      </c>
      <c r="H9" s="743">
        <v>0</v>
      </c>
      <c r="I9" s="743">
        <v>0</v>
      </c>
      <c r="J9" s="743">
        <v>0</v>
      </c>
      <c r="K9" s="110">
        <f t="shared" si="0"/>
        <v>0</v>
      </c>
      <c r="L9" s="758">
        <v>0</v>
      </c>
    </row>
    <row r="10" spans="1:12" ht="12.75" customHeight="1" x14ac:dyDescent="0.2">
      <c r="A10" s="40" t="s">
        <v>613</v>
      </c>
      <c r="B10" s="170" t="s">
        <v>614</v>
      </c>
      <c r="C10" s="743">
        <v>0</v>
      </c>
      <c r="D10" s="743">
        <v>0</v>
      </c>
      <c r="E10" s="743">
        <v>0</v>
      </c>
      <c r="F10" s="743">
        <v>0</v>
      </c>
      <c r="G10" s="743">
        <v>0</v>
      </c>
      <c r="H10" s="743">
        <v>0</v>
      </c>
      <c r="I10" s="743">
        <v>0</v>
      </c>
      <c r="J10" s="743">
        <v>0</v>
      </c>
      <c r="K10" s="110">
        <f t="shared" si="0"/>
        <v>0</v>
      </c>
      <c r="L10" s="758">
        <v>0</v>
      </c>
    </row>
    <row r="11" spans="1:12" ht="12.75" customHeight="1" x14ac:dyDescent="0.2">
      <c r="A11" s="40" t="s">
        <v>615</v>
      </c>
      <c r="B11" s="170" t="s">
        <v>616</v>
      </c>
      <c r="C11" s="743">
        <v>0</v>
      </c>
      <c r="D11" s="743">
        <v>0</v>
      </c>
      <c r="E11" s="743">
        <v>0</v>
      </c>
      <c r="F11" s="743">
        <v>0</v>
      </c>
      <c r="G11" s="743">
        <v>0</v>
      </c>
      <c r="H11" s="743">
        <v>0</v>
      </c>
      <c r="I11" s="743">
        <v>0</v>
      </c>
      <c r="J11" s="743">
        <v>0</v>
      </c>
      <c r="K11" s="110">
        <f t="shared" si="0"/>
        <v>0</v>
      </c>
      <c r="L11" s="758">
        <v>0</v>
      </c>
    </row>
    <row r="12" spans="1:12" ht="12.75" customHeight="1" x14ac:dyDescent="0.2">
      <c r="A12" s="40" t="s">
        <v>617</v>
      </c>
      <c r="B12" s="170" t="s">
        <v>618</v>
      </c>
      <c r="C12" s="743">
        <v>58720464.189999983</v>
      </c>
      <c r="D12" s="743">
        <v>16881374.859999999</v>
      </c>
      <c r="E12" s="743">
        <v>0</v>
      </c>
      <c r="F12" s="743">
        <v>26324924.82</v>
      </c>
      <c r="G12" s="743">
        <v>0</v>
      </c>
      <c r="H12" s="743">
        <v>0</v>
      </c>
      <c r="I12" s="743">
        <v>0</v>
      </c>
      <c r="J12" s="743">
        <v>0</v>
      </c>
      <c r="K12" s="110">
        <f t="shared" si="0"/>
        <v>101926763.86999997</v>
      </c>
      <c r="L12" s="758">
        <v>80651537.549999997</v>
      </c>
    </row>
    <row r="13" spans="1:12" ht="12.75" customHeight="1" x14ac:dyDescent="0.2">
      <c r="A13" s="40" t="s">
        <v>619</v>
      </c>
      <c r="B13" s="170" t="s">
        <v>620</v>
      </c>
      <c r="C13" s="743">
        <v>0</v>
      </c>
      <c r="D13" s="743">
        <v>0</v>
      </c>
      <c r="E13" s="743">
        <v>0</v>
      </c>
      <c r="F13" s="743">
        <v>0</v>
      </c>
      <c r="G13" s="743">
        <v>0</v>
      </c>
      <c r="H13" s="743">
        <v>0</v>
      </c>
      <c r="I13" s="743">
        <v>0</v>
      </c>
      <c r="J13" s="743">
        <v>0</v>
      </c>
      <c r="K13" s="110">
        <f t="shared" si="0"/>
        <v>0</v>
      </c>
      <c r="L13" s="758">
        <v>0</v>
      </c>
    </row>
    <row r="14" spans="1:12" ht="12.75" customHeight="1" x14ac:dyDescent="0.2">
      <c r="A14" s="40" t="s">
        <v>740</v>
      </c>
      <c r="B14" s="170" t="s">
        <v>621</v>
      </c>
      <c r="C14" s="743">
        <v>0</v>
      </c>
      <c r="D14" s="743">
        <v>0</v>
      </c>
      <c r="E14" s="743">
        <v>0</v>
      </c>
      <c r="F14" s="743">
        <v>0</v>
      </c>
      <c r="G14" s="743">
        <v>0</v>
      </c>
      <c r="H14" s="743">
        <v>0</v>
      </c>
      <c r="I14" s="743">
        <v>0</v>
      </c>
      <c r="J14" s="743">
        <v>0</v>
      </c>
      <c r="K14" s="110">
        <f>SUM(C14:J14)</f>
        <v>0</v>
      </c>
      <c r="L14" s="758">
        <v>0</v>
      </c>
    </row>
    <row r="15" spans="1:12" ht="12.75" customHeight="1" x14ac:dyDescent="0.2">
      <c r="A15" s="54" t="s">
        <v>949</v>
      </c>
      <c r="B15" s="286">
        <v>1000</v>
      </c>
      <c r="C15" s="272">
        <f>SUM(C6:C14)</f>
        <v>139338893.38999999</v>
      </c>
      <c r="D15" s="56">
        <f t="shared" ref="D15:J15" si="1">SUM(D6:D14)</f>
        <v>32331395.059999999</v>
      </c>
      <c r="E15" s="56">
        <f t="shared" si="1"/>
        <v>0</v>
      </c>
      <c r="F15" s="56">
        <f t="shared" si="1"/>
        <v>26324924.82</v>
      </c>
      <c r="G15" s="56">
        <f t="shared" si="1"/>
        <v>0</v>
      </c>
      <c r="H15" s="56">
        <f t="shared" si="1"/>
        <v>0</v>
      </c>
      <c r="I15" s="56">
        <f t="shared" si="1"/>
        <v>0</v>
      </c>
      <c r="J15" s="236">
        <f t="shared" si="1"/>
        <v>0</v>
      </c>
      <c r="K15" s="113">
        <f>SUM(K6:K14)</f>
        <v>197995213.26999998</v>
      </c>
      <c r="L15" s="161">
        <f>SUM(L6:L14)</f>
        <v>154218549.07999998</v>
      </c>
    </row>
    <row r="16" spans="1:12" ht="12.75" customHeight="1" x14ac:dyDescent="0.2">
      <c r="A16" s="58" t="s">
        <v>811</v>
      </c>
      <c r="B16" s="168"/>
      <c r="C16" s="50"/>
      <c r="D16" s="50"/>
      <c r="E16" s="50"/>
      <c r="F16" s="50"/>
      <c r="G16" s="50"/>
      <c r="H16" s="50"/>
      <c r="I16" s="50"/>
      <c r="J16" s="50"/>
      <c r="K16" s="50"/>
    </row>
    <row r="17" spans="1:1" ht="12.75" customHeight="1" x14ac:dyDescent="0.2">
      <c r="A17" s="122" t="s">
        <v>640</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9"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H20" sqref="H20"/>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42" t="str">
        <f>muni&amp; " - "&amp;S71K&amp; " - "&amp;Head57</f>
        <v>LIM354 Polokwane - Supporting Table SC5 Monthly Budget Statement - investment portfolio  - M05 November</v>
      </c>
      <c r="B1" s="1042"/>
      <c r="C1" s="1042"/>
      <c r="D1" s="1042"/>
      <c r="E1" s="1042"/>
      <c r="F1" s="1042"/>
      <c r="G1" s="1042"/>
      <c r="H1" s="1042"/>
      <c r="I1" s="1042"/>
      <c r="J1" s="1042"/>
      <c r="K1" s="68"/>
    </row>
    <row r="2" spans="1:11" ht="54" customHeight="1" x14ac:dyDescent="0.2">
      <c r="A2" s="271" t="s">
        <v>923</v>
      </c>
      <c r="B2" s="1053" t="s">
        <v>590</v>
      </c>
      <c r="C2" s="26" t="s">
        <v>130</v>
      </c>
      <c r="D2" s="1067" t="s">
        <v>627</v>
      </c>
      <c r="E2" s="1067" t="s">
        <v>628</v>
      </c>
      <c r="F2" s="1067" t="s">
        <v>556</v>
      </c>
      <c r="G2" s="1067" t="s">
        <v>66</v>
      </c>
      <c r="H2" s="1067" t="s">
        <v>557</v>
      </c>
      <c r="I2" s="1067" t="s">
        <v>918</v>
      </c>
      <c r="J2" s="1069" t="s">
        <v>919</v>
      </c>
      <c r="K2" s="285" t="s">
        <v>519</v>
      </c>
    </row>
    <row r="3" spans="1:11" ht="12.75" customHeight="1" x14ac:dyDescent="0.2">
      <c r="A3" s="35" t="s">
        <v>687</v>
      </c>
      <c r="B3" s="1055"/>
      <c r="C3" s="416" t="s">
        <v>131</v>
      </c>
      <c r="D3" s="1068"/>
      <c r="E3" s="1068"/>
      <c r="F3" s="1068"/>
      <c r="G3" s="1068"/>
      <c r="H3" s="1068"/>
      <c r="I3" s="1068"/>
      <c r="J3" s="1070"/>
      <c r="K3" s="29"/>
    </row>
    <row r="4" spans="1:11" ht="12.75" customHeight="1" x14ac:dyDescent="0.2">
      <c r="A4" s="553" t="s">
        <v>348</v>
      </c>
      <c r="B4" s="172"/>
      <c r="C4" s="556"/>
      <c r="D4" s="538"/>
      <c r="E4" s="538"/>
      <c r="F4" s="538"/>
      <c r="G4" s="538"/>
      <c r="H4" s="538"/>
      <c r="I4" s="538"/>
      <c r="J4" s="539"/>
    </row>
    <row r="5" spans="1:11" ht="12.75" customHeight="1" x14ac:dyDescent="0.2">
      <c r="A5" s="786"/>
      <c r="B5" s="170"/>
      <c r="C5" s="755"/>
      <c r="D5" s="743"/>
      <c r="E5" s="743"/>
      <c r="F5" s="743"/>
      <c r="G5" s="773"/>
      <c r="H5" s="743"/>
      <c r="I5" s="743"/>
      <c r="J5" s="745"/>
    </row>
    <row r="6" spans="1:11" ht="12.75" customHeight="1" x14ac:dyDescent="0.2">
      <c r="A6" s="786" t="s">
        <v>1436</v>
      </c>
      <c r="B6" s="170"/>
      <c r="C6" s="755" t="s">
        <v>1439</v>
      </c>
      <c r="D6" s="743" t="s">
        <v>1440</v>
      </c>
      <c r="E6" s="743" t="s">
        <v>1441</v>
      </c>
      <c r="F6" s="743"/>
      <c r="G6" s="773">
        <v>0</v>
      </c>
      <c r="H6" s="743">
        <v>1000</v>
      </c>
      <c r="I6" s="743">
        <f>J6-H6</f>
        <v>0</v>
      </c>
      <c r="J6" s="745">
        <v>1000</v>
      </c>
    </row>
    <row r="7" spans="1:11" ht="12.75" customHeight="1" x14ac:dyDescent="0.2">
      <c r="A7" s="786" t="s">
        <v>1437</v>
      </c>
      <c r="B7" s="170"/>
      <c r="C7" s="755"/>
      <c r="D7" s="743"/>
      <c r="E7" s="743"/>
      <c r="F7" s="743"/>
      <c r="G7" s="773"/>
      <c r="H7" s="743"/>
      <c r="I7" s="743"/>
      <c r="J7" s="745"/>
    </row>
    <row r="8" spans="1:11" ht="12.75" customHeight="1" x14ac:dyDescent="0.2">
      <c r="A8" s="786" t="s">
        <v>1437</v>
      </c>
      <c r="B8" s="170"/>
      <c r="C8" s="755"/>
      <c r="D8" s="743"/>
      <c r="E8" s="743"/>
      <c r="F8" s="743"/>
      <c r="G8" s="773"/>
      <c r="H8" s="743"/>
      <c r="I8" s="743"/>
      <c r="J8" s="745"/>
    </row>
    <row r="9" spans="1:11" ht="12.75" customHeight="1" x14ac:dyDescent="0.2">
      <c r="A9" s="786" t="s">
        <v>1438</v>
      </c>
      <c r="B9" s="170"/>
      <c r="C9" s="755"/>
      <c r="D9" s="743"/>
      <c r="E9" s="743"/>
      <c r="F9" s="743"/>
      <c r="G9" s="773"/>
      <c r="H9" s="743"/>
      <c r="I9" s="743"/>
      <c r="J9" s="745"/>
    </row>
    <row r="10" spans="1:11" ht="12.75" customHeight="1" x14ac:dyDescent="0.2">
      <c r="A10" s="786"/>
      <c r="B10" s="170"/>
      <c r="C10" s="755"/>
      <c r="D10" s="743"/>
      <c r="E10" s="743"/>
      <c r="F10" s="743"/>
      <c r="G10" s="773"/>
      <c r="H10" s="743"/>
      <c r="I10" s="743"/>
      <c r="J10" s="745"/>
    </row>
    <row r="11" spans="1:11" ht="12.75" customHeight="1" x14ac:dyDescent="0.2">
      <c r="A11" s="786"/>
      <c r="B11" s="170"/>
      <c r="C11" s="755"/>
      <c r="D11" s="743"/>
      <c r="E11" s="743"/>
      <c r="F11" s="743"/>
      <c r="G11" s="773"/>
      <c r="H11" s="743"/>
      <c r="I11" s="743"/>
      <c r="J11" s="745"/>
    </row>
    <row r="12" spans="1:11" ht="12.75" customHeight="1" x14ac:dyDescent="0.2">
      <c r="A12" s="551" t="s">
        <v>132</v>
      </c>
      <c r="B12" s="170"/>
      <c r="C12" s="560"/>
      <c r="D12" s="558"/>
      <c r="E12" s="558">
        <v>0</v>
      </c>
      <c r="F12" s="617">
        <f>SUM(F5:F11)</f>
        <v>0</v>
      </c>
      <c r="G12" s="559"/>
      <c r="H12" s="617">
        <f>SUM(H5:H11)</f>
        <v>1000</v>
      </c>
      <c r="I12" s="617">
        <f>SUM(I5:I11)</f>
        <v>0</v>
      </c>
      <c r="J12" s="619">
        <f>SUM(J5:J11)</f>
        <v>1000</v>
      </c>
    </row>
    <row r="13" spans="1:11" ht="3.75" customHeight="1" x14ac:dyDescent="0.2">
      <c r="A13" s="552"/>
      <c r="B13" s="170"/>
      <c r="C13" s="556"/>
      <c r="D13" s="538" t="s">
        <v>1442</v>
      </c>
      <c r="E13" s="538"/>
      <c r="F13" s="538"/>
      <c r="G13" s="557"/>
      <c r="H13" s="538"/>
      <c r="I13" s="538"/>
      <c r="J13" s="539"/>
    </row>
    <row r="14" spans="1:11" ht="12.75" customHeight="1" x14ac:dyDescent="0.2">
      <c r="A14" s="553" t="s">
        <v>133</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134</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135</v>
      </c>
      <c r="B24" s="237">
        <v>2</v>
      </c>
      <c r="C24" s="555"/>
      <c r="D24" s="292"/>
      <c r="E24" s="292"/>
      <c r="F24" s="56">
        <f>F12+F22</f>
        <v>0</v>
      </c>
      <c r="G24" s="723"/>
      <c r="H24" s="56">
        <f>H12+H22</f>
        <v>1000</v>
      </c>
      <c r="I24" s="56">
        <f>I12+I22</f>
        <v>0</v>
      </c>
      <c r="J24" s="236">
        <f>J12+J22</f>
        <v>1000</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920</v>
      </c>
      <c r="B26" s="59"/>
      <c r="C26" s="85"/>
      <c r="D26" s="85"/>
      <c r="E26" s="85"/>
      <c r="F26" s="85"/>
      <c r="G26" s="85"/>
      <c r="H26" s="85"/>
      <c r="I26" s="85"/>
      <c r="J26" s="85"/>
      <c r="N26" s="68"/>
      <c r="O26" s="68"/>
      <c r="P26" s="68"/>
    </row>
    <row r="27" spans="1:16" ht="12.75" customHeight="1" x14ac:dyDescent="0.2">
      <c r="A27" s="61" t="s">
        <v>550</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9" type="noConversion"/>
  <printOptions horizontalCentered="1"/>
  <pageMargins left="0.36" right="0.17" top="0.79" bottom="0.6" header="0.51181102362204722" footer="0.4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48" activePane="bottomRight" state="frozen"/>
      <selection pane="topRight"/>
      <selection pane="bottomLeft"/>
      <selection pane="bottomRight" activeCell="K71" sqref="C8:K7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"&amp;S71L&amp; " - "&amp;Head57</f>
        <v>LIM354 Polokwane - Supporting Table SC6 Monthly Budget Statement - transfers and grant receipts  - M05 November</v>
      </c>
      <c r="B1" s="1042"/>
      <c r="C1" s="1042"/>
      <c r="D1" s="1042"/>
      <c r="E1" s="1042"/>
      <c r="F1" s="1042"/>
      <c r="G1" s="1042"/>
      <c r="H1" s="1042"/>
      <c r="I1" s="1042"/>
      <c r="J1" s="1042"/>
      <c r="K1" s="1042"/>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36" t="s">
        <v>1003</v>
      </c>
      <c r="B5" s="170" t="s">
        <v>987</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642</v>
      </c>
      <c r="B8" s="170"/>
      <c r="C8" s="110">
        <f>SUM(C9:C19)</f>
        <v>994438556</v>
      </c>
      <c r="D8" s="52">
        <f>SUM(D9:D19)</f>
        <v>1039367000</v>
      </c>
      <c r="E8" s="51">
        <f>SUM(E9:E19)</f>
        <v>1039367000</v>
      </c>
      <c r="F8" s="51">
        <f t="shared" ref="F8:K8" si="0">SUM(F9:F19)</f>
        <v>22422376.144385308</v>
      </c>
      <c r="G8" s="51">
        <f t="shared" si="0"/>
        <v>456248001.27879751</v>
      </c>
      <c r="H8" s="51">
        <f t="shared" si="0"/>
        <v>433069583.33333337</v>
      </c>
      <c r="I8" s="51">
        <f t="shared" si="0"/>
        <v>257597791.80107892</v>
      </c>
      <c r="J8" s="346">
        <f t="shared" si="0"/>
        <v>13.892469074295404</v>
      </c>
      <c r="K8" s="195">
        <f t="shared" si="0"/>
        <v>1039367000</v>
      </c>
    </row>
    <row r="9" spans="1:11" ht="12.75" customHeight="1" x14ac:dyDescent="0.2">
      <c r="A9" s="788" t="s">
        <v>1016</v>
      </c>
      <c r="B9" s="170"/>
      <c r="C9" s="789">
        <v>831436000</v>
      </c>
      <c r="D9" s="790">
        <v>922589000</v>
      </c>
      <c r="E9" s="744">
        <v>922589000</v>
      </c>
      <c r="F9" s="744">
        <v>0</v>
      </c>
      <c r="G9" s="744">
        <v>384412000</v>
      </c>
      <c r="H9" s="743">
        <f>E9/12*5</f>
        <v>384412083.33333337</v>
      </c>
      <c r="I9" s="517">
        <v>230647166.66666666</v>
      </c>
      <c r="J9" s="561">
        <v>1.4999994580468659</v>
      </c>
      <c r="K9" s="745">
        <v>922589000</v>
      </c>
    </row>
    <row r="10" spans="1:11" ht="12.75" customHeight="1" x14ac:dyDescent="0.2">
      <c r="A10" s="788" t="s">
        <v>1025</v>
      </c>
      <c r="B10" s="170"/>
      <c r="C10" s="758">
        <v>5742000</v>
      </c>
      <c r="D10" s="755">
        <v>4201000</v>
      </c>
      <c r="E10" s="743">
        <v>4201000</v>
      </c>
      <c r="F10" s="743">
        <v>1891000</v>
      </c>
      <c r="G10" s="743">
        <v>2942000</v>
      </c>
      <c r="H10" s="743">
        <f t="shared" ref="H10:H19" si="1">E10/12*5</f>
        <v>1750416.6666666665</v>
      </c>
      <c r="I10" s="45">
        <v>350833.33333333337</v>
      </c>
      <c r="J10" s="125">
        <v>0.50107117353011199</v>
      </c>
      <c r="K10" s="745">
        <v>4201000</v>
      </c>
    </row>
    <row r="11" spans="1:11" ht="12.75" customHeight="1" x14ac:dyDescent="0.2">
      <c r="A11" s="788" t="s">
        <v>1021</v>
      </c>
      <c r="B11" s="170"/>
      <c r="C11" s="758">
        <v>28957000</v>
      </c>
      <c r="D11" s="755">
        <v>28118000</v>
      </c>
      <c r="E11" s="743">
        <v>28118000</v>
      </c>
      <c r="F11" s="743">
        <v>13364864.998163598</v>
      </c>
      <c r="G11" s="743">
        <v>28118000</v>
      </c>
      <c r="H11" s="743">
        <f t="shared" si="1"/>
        <v>11715833.333333332</v>
      </c>
      <c r="I11" s="45">
        <v>10066801.668503072</v>
      </c>
      <c r="J11" s="125">
        <v>2.148118998898159</v>
      </c>
      <c r="K11" s="745">
        <v>28118000</v>
      </c>
    </row>
    <row r="12" spans="1:11" ht="12.75" customHeight="1" x14ac:dyDescent="0.2">
      <c r="A12" s="788" t="s">
        <v>1018</v>
      </c>
      <c r="B12" s="170"/>
      <c r="C12" s="758">
        <v>3048000</v>
      </c>
      <c r="D12" s="755">
        <v>2500000</v>
      </c>
      <c r="E12" s="743">
        <v>2500000</v>
      </c>
      <c r="F12" s="743">
        <v>0</v>
      </c>
      <c r="G12" s="743">
        <v>2500000</v>
      </c>
      <c r="H12" s="743">
        <f t="shared" si="1"/>
        <v>1041666.6666666667</v>
      </c>
      <c r="I12" s="45">
        <v>2083333.3333333333</v>
      </c>
      <c r="J12" s="125">
        <v>5</v>
      </c>
      <c r="K12" s="745">
        <v>2500000</v>
      </c>
    </row>
    <row r="13" spans="1:11" ht="12.75" customHeight="1" x14ac:dyDescent="0.2">
      <c r="A13" s="788" t="s">
        <v>50</v>
      </c>
      <c r="B13" s="170"/>
      <c r="C13" s="758">
        <v>47418000</v>
      </c>
      <c r="D13" s="755">
        <v>0</v>
      </c>
      <c r="E13" s="743">
        <v>0</v>
      </c>
      <c r="F13" s="743">
        <v>0</v>
      </c>
      <c r="G13" s="743">
        <v>0</v>
      </c>
      <c r="H13" s="743">
        <f t="shared" si="1"/>
        <v>0</v>
      </c>
      <c r="I13" s="45">
        <v>0</v>
      </c>
      <c r="J13" s="125" t="s">
        <v>1631</v>
      </c>
      <c r="K13" s="745">
        <v>0</v>
      </c>
    </row>
    <row r="14" spans="1:11" ht="12.75" customHeight="1" x14ac:dyDescent="0.2">
      <c r="A14" s="971" t="s">
        <v>1454</v>
      </c>
      <c r="B14" s="170">
        <v>3</v>
      </c>
      <c r="C14" s="758">
        <v>60882556</v>
      </c>
      <c r="D14" s="755">
        <v>20000000</v>
      </c>
      <c r="E14" s="743">
        <v>20000000</v>
      </c>
      <c r="F14" s="743">
        <v>6000011.1462217094</v>
      </c>
      <c r="G14" s="743">
        <v>9000016.7193325646</v>
      </c>
      <c r="H14" s="743">
        <f t="shared" si="1"/>
        <v>8333333.333333334</v>
      </c>
      <c r="I14" s="45">
        <v>-333327.76022247877</v>
      </c>
      <c r="J14" s="125">
        <v>-9.9998328066743622E-2</v>
      </c>
      <c r="K14" s="745">
        <v>20000000</v>
      </c>
    </row>
    <row r="15" spans="1:11" ht="12.75" customHeight="1" x14ac:dyDescent="0.2">
      <c r="A15" s="788" t="s">
        <v>1443</v>
      </c>
      <c r="B15" s="170"/>
      <c r="C15" s="758">
        <v>6500000</v>
      </c>
      <c r="D15" s="755">
        <v>5111000</v>
      </c>
      <c r="E15" s="743">
        <v>5111000</v>
      </c>
      <c r="F15" s="743">
        <v>0</v>
      </c>
      <c r="G15" s="743">
        <v>2500000</v>
      </c>
      <c r="H15" s="743">
        <f t="shared" si="1"/>
        <v>2129583.3333333335</v>
      </c>
      <c r="I15" s="45">
        <v>1648166.6666666665</v>
      </c>
      <c r="J15" s="125">
        <v>1.9348464097045586</v>
      </c>
      <c r="K15" s="745">
        <v>5111000</v>
      </c>
    </row>
    <row r="16" spans="1:11" ht="12.75" customHeight="1" x14ac:dyDescent="0.2">
      <c r="A16" s="788" t="s">
        <v>1020</v>
      </c>
      <c r="B16" s="170"/>
      <c r="C16" s="758">
        <v>8000000</v>
      </c>
      <c r="D16" s="755">
        <v>8000000</v>
      </c>
      <c r="E16" s="743">
        <v>8000000</v>
      </c>
      <c r="F16" s="743">
        <v>0</v>
      </c>
      <c r="G16" s="743">
        <v>6000000</v>
      </c>
      <c r="H16" s="743">
        <f t="shared" si="1"/>
        <v>3333333.333333333</v>
      </c>
      <c r="I16" s="45">
        <v>1666666.6666666667</v>
      </c>
      <c r="J16" s="125">
        <v>1.2500000000000002</v>
      </c>
      <c r="K16" s="745">
        <v>8000000</v>
      </c>
    </row>
    <row r="17" spans="1:11" ht="12.75" customHeight="1" x14ac:dyDescent="0.2">
      <c r="A17" s="971" t="s">
        <v>1455</v>
      </c>
      <c r="B17" s="170"/>
      <c r="C17" s="758">
        <v>1400000</v>
      </c>
      <c r="D17" s="755">
        <v>1933000</v>
      </c>
      <c r="E17" s="743">
        <v>1933000</v>
      </c>
      <c r="F17" s="743">
        <v>1166500</v>
      </c>
      <c r="G17" s="743">
        <v>1553100</v>
      </c>
      <c r="H17" s="743">
        <f t="shared" si="1"/>
        <v>805416.66666666674</v>
      </c>
      <c r="I17" s="45">
        <v>64433.333333333314</v>
      </c>
      <c r="J17" s="125">
        <v>0.19999999999999993</v>
      </c>
      <c r="K17" s="745">
        <v>1933000</v>
      </c>
    </row>
    <row r="18" spans="1:11" ht="12.75" customHeight="1" x14ac:dyDescent="0.2">
      <c r="A18" s="971" t="s">
        <v>1630</v>
      </c>
      <c r="B18" s="170"/>
      <c r="C18" s="758">
        <v>0</v>
      </c>
      <c r="D18" s="755">
        <v>46915000</v>
      </c>
      <c r="E18" s="743">
        <v>46915000</v>
      </c>
      <c r="F18" s="743">
        <v>0</v>
      </c>
      <c r="G18" s="743">
        <v>19222884.559464961</v>
      </c>
      <c r="H18" s="743">
        <f t="shared" si="1"/>
        <v>19547916.666666668</v>
      </c>
      <c r="I18" s="45">
        <v>11403717.892798293</v>
      </c>
      <c r="J18" s="125">
        <v>1.4584313621824525</v>
      </c>
      <c r="K18" s="745">
        <v>46915000</v>
      </c>
    </row>
    <row r="19" spans="1:11" ht="12.75" customHeight="1" x14ac:dyDescent="0.2">
      <c r="A19" s="788" t="s">
        <v>1463</v>
      </c>
      <c r="B19" s="170"/>
      <c r="C19" s="758">
        <v>1055000</v>
      </c>
      <c r="D19" s="755">
        <v>0</v>
      </c>
      <c r="E19" s="743">
        <v>0</v>
      </c>
      <c r="F19" s="743">
        <v>0</v>
      </c>
      <c r="G19" s="743">
        <v>0</v>
      </c>
      <c r="H19" s="743">
        <f t="shared" si="1"/>
        <v>0</v>
      </c>
      <c r="I19" s="45">
        <v>0</v>
      </c>
      <c r="J19" s="125" t="s">
        <v>1631</v>
      </c>
      <c r="K19" s="745">
        <v>0</v>
      </c>
    </row>
    <row r="20" spans="1:11" ht="12.75" customHeight="1" x14ac:dyDescent="0.2">
      <c r="A20" s="107" t="s">
        <v>643</v>
      </c>
      <c r="B20" s="170"/>
      <c r="C20" s="519">
        <v>0</v>
      </c>
      <c r="D20" s="478">
        <v>0</v>
      </c>
      <c r="E20" s="433">
        <v>0</v>
      </c>
      <c r="F20" s="433">
        <v>0</v>
      </c>
      <c r="G20" s="433">
        <v>0</v>
      </c>
      <c r="H20" s="433">
        <v>0</v>
      </c>
      <c r="I20" s="433">
        <v>0</v>
      </c>
      <c r="J20" s="562" t="s">
        <v>1631</v>
      </c>
      <c r="K20" s="516">
        <v>0</v>
      </c>
    </row>
    <row r="21" spans="1:11" ht="12.75" customHeight="1" x14ac:dyDescent="0.2">
      <c r="A21" s="788" t="s">
        <v>1463</v>
      </c>
      <c r="B21" s="170"/>
      <c r="C21" s="789">
        <v>0</v>
      </c>
      <c r="D21" s="790">
        <v>0</v>
      </c>
      <c r="E21" s="744">
        <v>0</v>
      </c>
      <c r="F21" s="744"/>
      <c r="G21" s="744">
        <v>0</v>
      </c>
      <c r="H21" s="744">
        <v>0</v>
      </c>
      <c r="I21" s="517">
        <v>0</v>
      </c>
      <c r="J21" s="561" t="s">
        <v>1631</v>
      </c>
      <c r="K21" s="746">
        <v>0</v>
      </c>
    </row>
    <row r="22" spans="1:11" ht="12.75" customHeight="1" x14ac:dyDescent="0.2">
      <c r="A22" s="788"/>
      <c r="B22" s="170"/>
      <c r="C22" s="758"/>
      <c r="D22" s="755"/>
      <c r="E22" s="743"/>
      <c r="F22" s="743"/>
      <c r="G22" s="743"/>
      <c r="H22" s="743"/>
      <c r="I22" s="45"/>
      <c r="J22" s="125"/>
      <c r="K22" s="745">
        <v>0</v>
      </c>
    </row>
    <row r="23" spans="1:11" ht="12.75" customHeight="1" x14ac:dyDescent="0.2">
      <c r="A23" s="788"/>
      <c r="B23" s="170"/>
      <c r="C23" s="758"/>
      <c r="D23" s="755"/>
      <c r="E23" s="743"/>
      <c r="F23" s="743"/>
      <c r="G23" s="743"/>
      <c r="H23" s="743"/>
      <c r="I23" s="45">
        <v>0</v>
      </c>
      <c r="J23" s="125" t="s">
        <v>1631</v>
      </c>
      <c r="K23" s="745">
        <v>0</v>
      </c>
    </row>
    <row r="24" spans="1:11" ht="12.75" customHeight="1" x14ac:dyDescent="0.2">
      <c r="A24" s="788"/>
      <c r="B24" s="170">
        <v>4</v>
      </c>
      <c r="C24" s="758"/>
      <c r="D24" s="755"/>
      <c r="E24" s="743"/>
      <c r="F24" s="743"/>
      <c r="G24" s="743"/>
      <c r="H24" s="743"/>
      <c r="I24" s="45">
        <v>0</v>
      </c>
      <c r="J24" s="125" t="s">
        <v>1631</v>
      </c>
      <c r="K24" s="745">
        <v>0</v>
      </c>
    </row>
    <row r="25" spans="1:11" ht="12.75" customHeight="1" x14ac:dyDescent="0.2">
      <c r="A25" s="788"/>
      <c r="B25" s="170"/>
      <c r="C25" s="758"/>
      <c r="D25" s="755"/>
      <c r="E25" s="743"/>
      <c r="F25" s="743"/>
      <c r="G25" s="743"/>
      <c r="H25" s="743"/>
      <c r="I25" s="45">
        <v>0</v>
      </c>
      <c r="J25" s="125" t="s">
        <v>1631</v>
      </c>
      <c r="K25" s="745">
        <v>0</v>
      </c>
    </row>
    <row r="26" spans="1:11" ht="12.75" customHeight="1" x14ac:dyDescent="0.2">
      <c r="A26" s="788" t="s">
        <v>551</v>
      </c>
      <c r="B26" s="170"/>
      <c r="C26" s="758"/>
      <c r="D26" s="755"/>
      <c r="E26" s="743"/>
      <c r="F26" s="743"/>
      <c r="G26" s="743"/>
      <c r="H26" s="743"/>
      <c r="I26" s="45">
        <v>0</v>
      </c>
      <c r="J26" s="125" t="s">
        <v>1631</v>
      </c>
      <c r="K26" s="745">
        <v>0</v>
      </c>
    </row>
    <row r="27" spans="1:11" ht="12.75" customHeight="1" x14ac:dyDescent="0.2">
      <c r="A27" s="107" t="s">
        <v>533</v>
      </c>
      <c r="B27" s="170"/>
      <c r="C27" s="519">
        <v>0</v>
      </c>
      <c r="D27" s="478">
        <v>0</v>
      </c>
      <c r="E27" s="433">
        <v>0</v>
      </c>
      <c r="F27" s="433">
        <v>0</v>
      </c>
      <c r="G27" s="433">
        <v>0</v>
      </c>
      <c r="H27" s="433">
        <v>0</v>
      </c>
      <c r="I27" s="517">
        <v>0</v>
      </c>
      <c r="J27" s="561" t="s">
        <v>1631</v>
      </c>
      <c r="K27" s="516">
        <v>0</v>
      </c>
    </row>
    <row r="28" spans="1:11" ht="12.75" customHeight="1" x14ac:dyDescent="0.2">
      <c r="A28" s="979" t="s">
        <v>1465</v>
      </c>
      <c r="B28" s="170"/>
      <c r="C28" s="793"/>
      <c r="D28" s="794"/>
      <c r="E28" s="747">
        <v>0</v>
      </c>
      <c r="F28" s="747"/>
      <c r="G28" s="747"/>
      <c r="H28" s="747">
        <v>0</v>
      </c>
      <c r="I28" s="517">
        <v>0</v>
      </c>
      <c r="J28" s="561" t="s">
        <v>1631</v>
      </c>
      <c r="K28" s="748">
        <v>0</v>
      </c>
    </row>
    <row r="29" spans="1:11" ht="12.75" customHeight="1" x14ac:dyDescent="0.2">
      <c r="A29" s="792"/>
      <c r="B29" s="170"/>
      <c r="C29" s="758"/>
      <c r="D29" s="755"/>
      <c r="E29" s="743"/>
      <c r="F29" s="743"/>
      <c r="G29" s="743"/>
      <c r="H29" s="743"/>
      <c r="I29" s="45">
        <v>0</v>
      </c>
      <c r="J29" s="125" t="s">
        <v>1631</v>
      </c>
      <c r="K29" s="745"/>
    </row>
    <row r="30" spans="1:11" ht="12.75" customHeight="1" x14ac:dyDescent="0.2">
      <c r="A30" s="107" t="s">
        <v>840</v>
      </c>
      <c r="B30" s="170"/>
      <c r="C30" s="519">
        <v>0</v>
      </c>
      <c r="D30" s="478">
        <v>0</v>
      </c>
      <c r="E30" s="433">
        <v>0</v>
      </c>
      <c r="F30" s="433">
        <v>0</v>
      </c>
      <c r="G30" s="433">
        <v>0</v>
      </c>
      <c r="H30" s="433">
        <v>0</v>
      </c>
      <c r="I30" s="517">
        <v>0</v>
      </c>
      <c r="J30" s="561" t="s">
        <v>1631</v>
      </c>
      <c r="K30" s="516">
        <v>0</v>
      </c>
    </row>
    <row r="31" spans="1:11" ht="12.75" customHeight="1" x14ac:dyDescent="0.2">
      <c r="A31" s="791" t="s">
        <v>586</v>
      </c>
      <c r="B31" s="170"/>
      <c r="C31" s="793"/>
      <c r="D31" s="794"/>
      <c r="E31" s="747"/>
      <c r="F31" s="747"/>
      <c r="G31" s="747"/>
      <c r="H31" s="747"/>
      <c r="I31" s="517">
        <v>0</v>
      </c>
      <c r="J31" s="561" t="s">
        <v>1631</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v>0</v>
      </c>
      <c r="J37" s="125" t="s">
        <v>1631</v>
      </c>
      <c r="K37" s="745"/>
    </row>
    <row r="38" spans="1:11" ht="12.75" customHeight="1" x14ac:dyDescent="0.2">
      <c r="A38" s="567" t="s">
        <v>62</v>
      </c>
      <c r="B38" s="234">
        <v>5</v>
      </c>
      <c r="C38" s="244">
        <f>C30+C27+C20+C8</f>
        <v>994438556</v>
      </c>
      <c r="D38" s="75">
        <f t="shared" ref="D38:H38" si="2">D30+D27+D20+D8</f>
        <v>1039367000</v>
      </c>
      <c r="E38" s="74">
        <f t="shared" si="2"/>
        <v>1039367000</v>
      </c>
      <c r="F38" s="74">
        <f t="shared" si="2"/>
        <v>22422376.144385308</v>
      </c>
      <c r="G38" s="74">
        <f t="shared" si="2"/>
        <v>456248001.27879751</v>
      </c>
      <c r="H38" s="74">
        <f t="shared" si="2"/>
        <v>433069583.33333337</v>
      </c>
      <c r="I38" s="74">
        <f t="shared" ref="I38" si="3">I14+I26+I32+I35</f>
        <v>-333327.76022247877</v>
      </c>
      <c r="J38" s="307">
        <v>1.4870462029355112</v>
      </c>
      <c r="K38" s="146">
        <f t="shared" ref="K38" si="4">K30+K27+K20+K8</f>
        <v>1039367000</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SUM(C42:C52)</f>
        <v>1158658048.5699999</v>
      </c>
      <c r="D41" s="47">
        <f>SUM(D42:D52)</f>
        <v>1267136000</v>
      </c>
      <c r="E41" s="47">
        <f>SUM(E42:E52)</f>
        <v>1267136000</v>
      </c>
      <c r="F41" s="45">
        <f t="shared" ref="F41:K41" si="5">SUM(F42:F52)</f>
        <v>319694623.85561472</v>
      </c>
      <c r="G41" s="45">
        <f t="shared" si="5"/>
        <v>669969998.72120249</v>
      </c>
      <c r="H41" s="45">
        <f t="shared" si="5"/>
        <v>527973333.33333337</v>
      </c>
      <c r="I41" s="45">
        <f t="shared" si="5"/>
        <v>125086041.53225446</v>
      </c>
      <c r="J41" s="346">
        <f t="shared" si="5"/>
        <v>3.5703000330587837</v>
      </c>
      <c r="K41" s="145">
        <f t="shared" si="5"/>
        <v>1267136000</v>
      </c>
    </row>
    <row r="42" spans="1:11" ht="12.75" customHeight="1" x14ac:dyDescent="0.2">
      <c r="A42" s="788" t="s">
        <v>1629</v>
      </c>
      <c r="B42" s="170"/>
      <c r="C42" s="789">
        <v>283459000</v>
      </c>
      <c r="D42" s="790">
        <v>0</v>
      </c>
      <c r="E42" s="744">
        <v>0</v>
      </c>
      <c r="F42" s="744">
        <v>0</v>
      </c>
      <c r="G42" s="744">
        <v>0</v>
      </c>
      <c r="H42" s="744">
        <f t="shared" ref="H42:H51" si="6">E42/12*5</f>
        <v>0</v>
      </c>
      <c r="I42" s="517">
        <v>0</v>
      </c>
      <c r="J42" s="561" t="s">
        <v>1631</v>
      </c>
      <c r="K42" s="746">
        <v>0</v>
      </c>
    </row>
    <row r="43" spans="1:11" ht="12.75" customHeight="1" x14ac:dyDescent="0.2">
      <c r="A43" s="788" t="s">
        <v>1454</v>
      </c>
      <c r="B43" s="170"/>
      <c r="C43" s="758">
        <v>361094048.56999999</v>
      </c>
      <c r="D43" s="755">
        <v>159433000</v>
      </c>
      <c r="E43" s="743">
        <v>159433000</v>
      </c>
      <c r="F43" s="743">
        <v>47829988.853778295</v>
      </c>
      <c r="G43" s="743">
        <v>71744983.280667439</v>
      </c>
      <c r="H43" s="743">
        <f t="shared" si="6"/>
        <v>66430416.666666672</v>
      </c>
      <c r="I43" s="45">
        <v>-2657172.2397775203</v>
      </c>
      <c r="J43" s="125">
        <v>-9.9998328066743525E-2</v>
      </c>
      <c r="K43" s="745">
        <v>159433000</v>
      </c>
    </row>
    <row r="44" spans="1:11" ht="12.75" customHeight="1" x14ac:dyDescent="0.2">
      <c r="A44" s="788" t="s">
        <v>1029</v>
      </c>
      <c r="B44" s="170"/>
      <c r="C44" s="758">
        <v>370505000</v>
      </c>
      <c r="D44" s="755">
        <v>630998000</v>
      </c>
      <c r="E44" s="743">
        <v>630998000</v>
      </c>
      <c r="F44" s="743">
        <v>196953000</v>
      </c>
      <c r="G44" s="743">
        <v>346346000</v>
      </c>
      <c r="H44" s="743">
        <f t="shared" si="6"/>
        <v>262915833.33333331</v>
      </c>
      <c r="I44" s="45">
        <v>44226666.666666672</v>
      </c>
      <c r="J44" s="125">
        <v>0.42054016019068213</v>
      </c>
      <c r="K44" s="745">
        <v>630998000</v>
      </c>
    </row>
    <row r="45" spans="1:11" ht="12.75" customHeight="1" x14ac:dyDescent="0.2">
      <c r="A45" s="788" t="s">
        <v>1031</v>
      </c>
      <c r="B45" s="170"/>
      <c r="C45" s="758">
        <v>45000000</v>
      </c>
      <c r="D45" s="755">
        <v>40613000</v>
      </c>
      <c r="E45" s="743">
        <v>40613000</v>
      </c>
      <c r="F45" s="743">
        <v>13000000</v>
      </c>
      <c r="G45" s="743">
        <v>30000000</v>
      </c>
      <c r="H45" s="743">
        <f t="shared" si="6"/>
        <v>16922083.333333332</v>
      </c>
      <c r="I45" s="45">
        <v>-3768833.333333333</v>
      </c>
      <c r="J45" s="125">
        <v>-0.55679216014576616</v>
      </c>
      <c r="K45" s="745">
        <v>40613000</v>
      </c>
    </row>
    <row r="46" spans="1:11" ht="12.75" customHeight="1" x14ac:dyDescent="0.2">
      <c r="A46" s="971" t="s">
        <v>1455</v>
      </c>
      <c r="B46" s="170"/>
      <c r="C46" s="758">
        <v>88600000</v>
      </c>
      <c r="D46" s="755">
        <v>94717000</v>
      </c>
      <c r="E46" s="743">
        <v>94717000</v>
      </c>
      <c r="F46" s="743">
        <v>57158500</v>
      </c>
      <c r="G46" s="743">
        <v>76101900</v>
      </c>
      <c r="H46" s="743">
        <f t="shared" si="6"/>
        <v>39465416.666666664</v>
      </c>
      <c r="I46" s="45">
        <v>3157233.333333334</v>
      </c>
      <c r="J46" s="125">
        <v>0.20000000000000004</v>
      </c>
      <c r="K46" s="745">
        <v>94717000</v>
      </c>
    </row>
    <row r="47" spans="1:11" ht="12.75" customHeight="1" x14ac:dyDescent="0.2">
      <c r="A47" s="788" t="s">
        <v>1021</v>
      </c>
      <c r="B47" s="170"/>
      <c r="C47" s="758">
        <v>10000000</v>
      </c>
      <c r="D47" s="755">
        <v>10000000</v>
      </c>
      <c r="E47" s="743">
        <v>10000000</v>
      </c>
      <c r="F47" s="743">
        <v>4753135.0018364023</v>
      </c>
      <c r="G47" s="743">
        <v>10000000</v>
      </c>
      <c r="H47" s="743">
        <f t="shared" si="6"/>
        <v>4166666.666666667</v>
      </c>
      <c r="I47" s="45">
        <v>3580198.3314969307</v>
      </c>
      <c r="J47" s="125">
        <v>2.1481189988981582</v>
      </c>
      <c r="K47" s="745">
        <v>10000000</v>
      </c>
    </row>
    <row r="48" spans="1:11" ht="12.75" customHeight="1" x14ac:dyDescent="0.2">
      <c r="A48" s="788" t="s">
        <v>1630</v>
      </c>
      <c r="B48" s="170"/>
      <c r="C48" s="758">
        <v>0</v>
      </c>
      <c r="D48" s="755">
        <v>331375000</v>
      </c>
      <c r="E48" s="743">
        <v>331375000</v>
      </c>
      <c r="F48" s="743">
        <v>0</v>
      </c>
      <c r="G48" s="743">
        <v>135777115.44053504</v>
      </c>
      <c r="H48" s="743">
        <f t="shared" si="6"/>
        <v>138072916.66666666</v>
      </c>
      <c r="I48" s="45">
        <v>80547948.773868382</v>
      </c>
      <c r="J48" s="125">
        <v>1.458431362182453</v>
      </c>
      <c r="K48" s="745">
        <v>331375000</v>
      </c>
    </row>
    <row r="49" spans="1:11" ht="12.75" customHeight="1" x14ac:dyDescent="0.2">
      <c r="A49" s="788"/>
      <c r="B49" s="170"/>
      <c r="C49" s="758"/>
      <c r="D49" s="755">
        <v>0</v>
      </c>
      <c r="E49" s="743">
        <v>0</v>
      </c>
      <c r="F49" s="743">
        <v>0</v>
      </c>
      <c r="G49" s="743">
        <v>0</v>
      </c>
      <c r="H49" s="743">
        <f t="shared" si="6"/>
        <v>0</v>
      </c>
      <c r="I49" s="45">
        <v>0</v>
      </c>
      <c r="J49" s="125" t="s">
        <v>1631</v>
      </c>
      <c r="K49" s="745">
        <v>0</v>
      </c>
    </row>
    <row r="50" spans="1:11" ht="12.75" customHeight="1" x14ac:dyDescent="0.2">
      <c r="A50" s="788"/>
      <c r="B50" s="170"/>
      <c r="C50" s="758"/>
      <c r="D50" s="755">
        <v>0</v>
      </c>
      <c r="E50" s="743">
        <v>0</v>
      </c>
      <c r="F50" s="743">
        <v>0</v>
      </c>
      <c r="G50" s="743">
        <v>0</v>
      </c>
      <c r="H50" s="743">
        <f t="shared" si="6"/>
        <v>0</v>
      </c>
      <c r="I50" s="45">
        <v>0</v>
      </c>
      <c r="J50" s="125" t="s">
        <v>1631</v>
      </c>
      <c r="K50" s="745">
        <v>0</v>
      </c>
    </row>
    <row r="51" spans="1:11" ht="12.75" customHeight="1" x14ac:dyDescent="0.2">
      <c r="A51" s="788" t="s">
        <v>552</v>
      </c>
      <c r="B51" s="170"/>
      <c r="C51" s="758"/>
      <c r="D51" s="755">
        <v>0</v>
      </c>
      <c r="E51" s="743">
        <v>0</v>
      </c>
      <c r="F51" s="743">
        <v>0</v>
      </c>
      <c r="G51" s="743">
        <v>0</v>
      </c>
      <c r="H51" s="743">
        <f t="shared" si="6"/>
        <v>0</v>
      </c>
      <c r="I51" s="45">
        <v>0</v>
      </c>
      <c r="J51" s="125" t="s">
        <v>1631</v>
      </c>
      <c r="K51" s="745">
        <v>0</v>
      </c>
    </row>
    <row r="52" spans="1:11" ht="12.75" customHeight="1" x14ac:dyDescent="0.2">
      <c r="A52" s="345" t="str">
        <f>A20</f>
        <v>Provincial Government:</v>
      </c>
      <c r="B52" s="170"/>
      <c r="C52" s="519">
        <v>0</v>
      </c>
      <c r="D52" s="478">
        <v>0</v>
      </c>
      <c r="E52" s="433">
        <v>0</v>
      </c>
      <c r="F52" s="433">
        <v>0</v>
      </c>
      <c r="G52" s="433">
        <v>0</v>
      </c>
      <c r="H52" s="433">
        <v>0</v>
      </c>
      <c r="I52" s="517">
        <v>0</v>
      </c>
      <c r="J52" s="561" t="s">
        <v>1631</v>
      </c>
      <c r="K52" s="516">
        <v>0</v>
      </c>
    </row>
    <row r="53" spans="1:11" ht="12.75" customHeight="1" x14ac:dyDescent="0.2">
      <c r="A53" s="791" t="s">
        <v>586</v>
      </c>
      <c r="B53" s="170"/>
      <c r="C53" s="793"/>
      <c r="D53" s="794"/>
      <c r="E53" s="747"/>
      <c r="F53" s="747"/>
      <c r="G53" s="747"/>
      <c r="H53" s="747"/>
      <c r="I53" s="517">
        <v>0</v>
      </c>
      <c r="J53" s="561" t="s">
        <v>1631</v>
      </c>
      <c r="K53" s="748"/>
    </row>
    <row r="54" spans="1:11" ht="12.75" customHeight="1" x14ac:dyDescent="0.2">
      <c r="A54" s="795"/>
      <c r="B54" s="170"/>
      <c r="C54" s="796"/>
      <c r="D54" s="797"/>
      <c r="E54" s="798"/>
      <c r="F54" s="798"/>
      <c r="G54" s="798"/>
      <c r="H54" s="798"/>
      <c r="I54" s="45"/>
      <c r="J54" s="125"/>
      <c r="K54" s="799">
        <v>0</v>
      </c>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v>0</v>
      </c>
      <c r="J58" s="125" t="s">
        <v>1631</v>
      </c>
      <c r="K58" s="745"/>
    </row>
    <row r="59" spans="1:11" ht="12.75" customHeight="1" x14ac:dyDescent="0.2">
      <c r="A59" s="107" t="str">
        <f>A27</f>
        <v>District Municipality:</v>
      </c>
      <c r="B59" s="170"/>
      <c r="C59" s="519">
        <v>0</v>
      </c>
      <c r="D59" s="478">
        <v>0</v>
      </c>
      <c r="E59" s="433">
        <v>0</v>
      </c>
      <c r="F59" s="433">
        <v>0</v>
      </c>
      <c r="G59" s="433">
        <v>0</v>
      </c>
      <c r="H59" s="433">
        <v>0</v>
      </c>
      <c r="I59" s="517">
        <v>0</v>
      </c>
      <c r="J59" s="561" t="s">
        <v>1631</v>
      </c>
      <c r="K59" s="516">
        <v>0</v>
      </c>
    </row>
    <row r="60" spans="1:11" ht="12.75" customHeight="1" x14ac:dyDescent="0.2">
      <c r="A60" s="791" t="s">
        <v>586</v>
      </c>
      <c r="B60" s="170"/>
      <c r="C60" s="793"/>
      <c r="D60" s="794"/>
      <c r="E60" s="747"/>
      <c r="F60" s="747"/>
      <c r="G60" s="747"/>
      <c r="H60" s="747"/>
      <c r="I60" s="517">
        <v>0</v>
      </c>
      <c r="J60" s="561" t="s">
        <v>1631</v>
      </c>
      <c r="K60" s="748"/>
    </row>
    <row r="61" spans="1:11" ht="12.75" customHeight="1" x14ac:dyDescent="0.2">
      <c r="A61" s="792"/>
      <c r="B61" s="170"/>
      <c r="C61" s="758"/>
      <c r="D61" s="755"/>
      <c r="E61" s="743"/>
      <c r="F61" s="743"/>
      <c r="G61" s="743"/>
      <c r="H61" s="743"/>
      <c r="I61" s="45">
        <v>0</v>
      </c>
      <c r="J61" s="125" t="s">
        <v>1631</v>
      </c>
      <c r="K61" s="745"/>
    </row>
    <row r="62" spans="1:11" ht="12.75" customHeight="1" x14ac:dyDescent="0.2">
      <c r="A62" s="107" t="str">
        <f>A30</f>
        <v>Other grant providers:</v>
      </c>
      <c r="B62" s="170"/>
      <c r="C62" s="519">
        <v>0</v>
      </c>
      <c r="D62" s="478">
        <v>0</v>
      </c>
      <c r="E62" s="433">
        <v>0</v>
      </c>
      <c r="F62" s="433">
        <v>0</v>
      </c>
      <c r="G62" s="433">
        <v>0</v>
      </c>
      <c r="H62" s="433">
        <v>0</v>
      </c>
      <c r="I62" s="517">
        <v>0</v>
      </c>
      <c r="J62" s="561" t="s">
        <v>1631</v>
      </c>
      <c r="K62" s="516">
        <v>0</v>
      </c>
    </row>
    <row r="63" spans="1:11" ht="12.75" customHeight="1" x14ac:dyDescent="0.2">
      <c r="A63" s="791" t="s">
        <v>586</v>
      </c>
      <c r="B63" s="170"/>
      <c r="C63" s="793"/>
      <c r="D63" s="794"/>
      <c r="E63" s="747"/>
      <c r="F63" s="747"/>
      <c r="G63" s="747"/>
      <c r="H63" s="747"/>
      <c r="I63" s="517">
        <v>0</v>
      </c>
      <c r="J63" s="561" t="s">
        <v>1631</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980">
        <v>0</v>
      </c>
      <c r="I68" s="45">
        <v>0</v>
      </c>
      <c r="J68" s="125" t="s">
        <v>1631</v>
      </c>
      <c r="K68" s="745"/>
    </row>
    <row r="69" spans="1:11" ht="12.75" customHeight="1" x14ac:dyDescent="0.2">
      <c r="A69" s="566" t="s">
        <v>64</v>
      </c>
      <c r="B69" s="312">
        <v>5</v>
      </c>
      <c r="C69" s="519">
        <f>C62+C59+C52+C41</f>
        <v>1158658048.5699999</v>
      </c>
      <c r="D69" s="519">
        <f t="shared" ref="D69:I69" si="7">D62+D59+D52+D41</f>
        <v>1267136000</v>
      </c>
      <c r="E69" s="519">
        <f t="shared" si="7"/>
        <v>1267136000</v>
      </c>
      <c r="F69" s="519">
        <f t="shared" si="7"/>
        <v>319694623.85561472</v>
      </c>
      <c r="G69" s="519">
        <f t="shared" si="7"/>
        <v>669969998.72120249</v>
      </c>
      <c r="H69" s="519">
        <f t="shared" si="7"/>
        <v>527973333.33333337</v>
      </c>
      <c r="I69" s="519">
        <f t="shared" si="7"/>
        <v>125086041.53225446</v>
      </c>
      <c r="J69" s="562">
        <v>0.59229336803115595</v>
      </c>
      <c r="K69" s="516">
        <v>1267136000</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C69+C38</f>
        <v>2153096604.5699997</v>
      </c>
      <c r="D71" s="308">
        <f>D69+D38</f>
        <v>2306503000</v>
      </c>
      <c r="E71" s="308">
        <f>E69+E38</f>
        <v>2306503000</v>
      </c>
      <c r="F71" s="308">
        <f t="shared" ref="F71" si="8">F69+F38</f>
        <v>342117000</v>
      </c>
      <c r="G71" s="309">
        <f>G69+G38</f>
        <v>1126218000</v>
      </c>
      <c r="H71" s="309">
        <f>H69+H38</f>
        <v>961042916.66666675</v>
      </c>
      <c r="I71" s="309">
        <v>382683833.33333337</v>
      </c>
      <c r="J71" s="310">
        <v>0.99549100954995529</v>
      </c>
      <c r="K71" s="311">
        <v>2306503000</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1001</v>
      </c>
      <c r="B73" s="59"/>
      <c r="C73" s="63"/>
      <c r="D73" s="63"/>
      <c r="E73" s="63"/>
      <c r="F73" s="63"/>
      <c r="G73" s="63"/>
      <c r="H73" s="63"/>
      <c r="I73" s="63"/>
      <c r="J73" s="63"/>
      <c r="K73" s="63"/>
    </row>
    <row r="74" spans="1:11" ht="12.75" customHeight="1" x14ac:dyDescent="0.2">
      <c r="A74" s="81" t="s">
        <v>953</v>
      </c>
      <c r="B74" s="59"/>
      <c r="C74" s="63"/>
      <c r="D74" s="63"/>
      <c r="E74" s="63"/>
      <c r="F74" s="63"/>
      <c r="G74" s="63"/>
      <c r="H74" s="63"/>
      <c r="I74" s="63"/>
      <c r="J74" s="63"/>
      <c r="K74" s="63"/>
    </row>
    <row r="75" spans="1:11" ht="12.75" customHeight="1" x14ac:dyDescent="0.2">
      <c r="A75" s="81" t="s">
        <v>839</v>
      </c>
      <c r="B75" s="59"/>
      <c r="C75" s="63"/>
      <c r="D75" s="63"/>
      <c r="E75" s="63"/>
      <c r="F75" s="63"/>
      <c r="G75" s="63"/>
      <c r="H75" s="63"/>
      <c r="I75" s="63"/>
      <c r="J75" s="63"/>
      <c r="K75" s="63"/>
    </row>
    <row r="76" spans="1:11" ht="12.75" customHeight="1" x14ac:dyDescent="0.2">
      <c r="A76" s="61" t="s">
        <v>532</v>
      </c>
      <c r="B76" s="59"/>
      <c r="C76" s="63"/>
      <c r="D76" s="63"/>
      <c r="E76" s="63"/>
      <c r="F76" s="63"/>
      <c r="G76" s="63"/>
      <c r="H76" s="63"/>
      <c r="I76" s="63"/>
      <c r="J76" s="63"/>
      <c r="K76" s="63"/>
    </row>
    <row r="77" spans="1:11" ht="12.75" customHeight="1" x14ac:dyDescent="0.2">
      <c r="A77" s="22" t="s">
        <v>622</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9"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tabSelected="1" zoomScaleNormal="100" workbookViewId="0">
      <pane xSplit="1" ySplit="4" topLeftCell="B23" activePane="bottomRight" state="frozen"/>
      <selection pane="topRight"/>
      <selection pane="bottomLeft"/>
      <selection pane="bottomRight" activeCell="N10" sqref="N10"/>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"&amp;S71M&amp; " - "&amp;Head57</f>
        <v>LIM354 Polokwane - Supporting Table SC7(1) Monthly Budget Statement - transfers and grant expenditure  - M05 November</v>
      </c>
      <c r="B1" s="1042"/>
      <c r="C1" s="1042"/>
      <c r="D1" s="1042"/>
      <c r="E1" s="1042"/>
      <c r="F1" s="1042"/>
      <c r="G1" s="1042"/>
      <c r="H1" s="1042"/>
      <c r="I1" s="1042"/>
      <c r="J1" s="1042"/>
      <c r="K1" s="1042"/>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301"/>
      <c r="E4" s="297"/>
      <c r="F4" s="298"/>
      <c r="G4" s="298"/>
      <c r="H4" s="298"/>
      <c r="I4" s="298"/>
      <c r="J4" s="299" t="s">
        <v>594</v>
      </c>
      <c r="K4" s="300"/>
    </row>
    <row r="5" spans="1:11" ht="12.75" customHeight="1" x14ac:dyDescent="0.2">
      <c r="A5" s="137" t="s">
        <v>553</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SUM(C9:C17)</f>
        <v>993383556</v>
      </c>
      <c r="D8" s="52">
        <f>SUM(D9:D19)</f>
        <v>1039367000</v>
      </c>
      <c r="E8" s="51">
        <f>SUM(E9:E19)</f>
        <v>1039367000</v>
      </c>
      <c r="F8" s="51">
        <f t="shared" ref="F8:H8" si="0">SUM(F9:F19)</f>
        <v>10522046.080000032</v>
      </c>
      <c r="G8" s="51">
        <f t="shared" si="0"/>
        <v>418367079.45850009</v>
      </c>
      <c r="H8" s="51">
        <f t="shared" si="0"/>
        <v>433069583.33333337</v>
      </c>
      <c r="I8" s="51">
        <v>-587318415.42505264</v>
      </c>
      <c r="J8" s="346">
        <v>-0.59123025731367418</v>
      </c>
      <c r="K8" s="195">
        <v>1039367000</v>
      </c>
    </row>
    <row r="9" spans="1:11" x14ac:dyDescent="0.2">
      <c r="A9" s="399" t="str">
        <f>'SC6'!A9</f>
        <v>Local Government Equitable Share</v>
      </c>
      <c r="B9" s="170"/>
      <c r="C9" s="977">
        <f>'SC6'!C9</f>
        <v>831436000</v>
      </c>
      <c r="D9" s="790">
        <f>'SC6'!D9</f>
        <v>922589000</v>
      </c>
      <c r="E9" s="744">
        <v>922589000</v>
      </c>
      <c r="F9" s="744">
        <v>0</v>
      </c>
      <c r="G9" s="744">
        <v>384412000</v>
      </c>
      <c r="H9" s="744">
        <f>E9/12*5</f>
        <v>384412083.33333337</v>
      </c>
      <c r="I9" s="517">
        <v>-447024000</v>
      </c>
      <c r="J9" s="561">
        <v>-0.53765292818689592</v>
      </c>
      <c r="K9" s="746">
        <v>922589000</v>
      </c>
    </row>
    <row r="10" spans="1:11" ht="12.75" customHeight="1" x14ac:dyDescent="0.2">
      <c r="A10" s="399" t="str">
        <f>'SC6'!A10</f>
        <v>EPWP Incentive</v>
      </c>
      <c r="B10" s="170"/>
      <c r="C10" s="976">
        <f>'SC6'!C10</f>
        <v>5742000</v>
      </c>
      <c r="D10" s="755">
        <f>'SC6'!D10</f>
        <v>4201000</v>
      </c>
      <c r="E10" s="743">
        <v>4201000</v>
      </c>
      <c r="F10" s="743">
        <v>254993.36</v>
      </c>
      <c r="G10" s="743">
        <v>2198357.11</v>
      </c>
      <c r="H10" s="743">
        <f t="shared" ref="H10:H19" si="1">E10/12*5</f>
        <v>1750416.6666666665</v>
      </c>
      <c r="I10" s="45">
        <v>-5742000</v>
      </c>
      <c r="J10" s="125">
        <v>-1</v>
      </c>
      <c r="K10" s="745">
        <v>4201000</v>
      </c>
    </row>
    <row r="11" spans="1:11" ht="12.75" customHeight="1" x14ac:dyDescent="0.2">
      <c r="A11" s="399" t="str">
        <f>'SC6'!A11</f>
        <v>Integrated National Electrification Programme</v>
      </c>
      <c r="B11" s="170"/>
      <c r="C11" s="976">
        <f>'SC6'!C11</f>
        <v>28957000</v>
      </c>
      <c r="D11" s="755">
        <f>'SC6'!D11</f>
        <v>28118000</v>
      </c>
      <c r="E11" s="743">
        <v>28118000</v>
      </c>
      <c r="F11" s="743">
        <v>1739357.08</v>
      </c>
      <c r="G11" s="743">
        <v>5731243.1699999981</v>
      </c>
      <c r="H11" s="743">
        <f t="shared" si="1"/>
        <v>11715833.333333332</v>
      </c>
      <c r="I11" s="45">
        <v>-14203864.998163596</v>
      </c>
      <c r="J11" s="125">
        <v>-0.49051576469121788</v>
      </c>
      <c r="K11" s="745">
        <v>28118000</v>
      </c>
    </row>
    <row r="12" spans="1:11" ht="12.75" customHeight="1" x14ac:dyDescent="0.2">
      <c r="A12" s="399" t="str">
        <f>'SC6'!A12</f>
        <v xml:space="preserve">Finance Management </v>
      </c>
      <c r="B12" s="170"/>
      <c r="C12" s="976">
        <f>'SC6'!C12</f>
        <v>3048000</v>
      </c>
      <c r="D12" s="755">
        <f>'SC6'!D12</f>
        <v>2500000</v>
      </c>
      <c r="E12" s="743">
        <v>2500000</v>
      </c>
      <c r="F12" s="743">
        <v>105485.21999999997</v>
      </c>
      <c r="G12" s="743">
        <v>893597.95849999995</v>
      </c>
      <c r="H12" s="743">
        <f t="shared" si="1"/>
        <v>1041666.6666666667</v>
      </c>
      <c r="I12" s="45">
        <v>-3048000</v>
      </c>
      <c r="J12" s="125">
        <v>-1</v>
      </c>
      <c r="K12" s="745">
        <v>2500000</v>
      </c>
    </row>
    <row r="13" spans="1:11" ht="12.75" customHeight="1" x14ac:dyDescent="0.2">
      <c r="A13" s="399" t="str">
        <f>'SC6'!A13</f>
        <v>Municipal Infrastructure Grant (MIG)</v>
      </c>
      <c r="B13" s="170"/>
      <c r="C13" s="976">
        <f>'SC6'!C13</f>
        <v>47418000</v>
      </c>
      <c r="D13" s="755">
        <f>'SC6'!D13</f>
        <v>0</v>
      </c>
      <c r="E13" s="743">
        <v>0</v>
      </c>
      <c r="F13" s="743">
        <v>0</v>
      </c>
      <c r="G13" s="743">
        <v>0</v>
      </c>
      <c r="H13" s="743">
        <f t="shared" si="1"/>
        <v>0</v>
      </c>
      <c r="I13" s="45">
        <v>-8000000</v>
      </c>
      <c r="J13" s="125">
        <v>-1</v>
      </c>
      <c r="K13" s="745">
        <v>0</v>
      </c>
    </row>
    <row r="14" spans="1:11" ht="12.75" customHeight="1" x14ac:dyDescent="0.2">
      <c r="A14" s="399" t="s">
        <v>1444</v>
      </c>
      <c r="B14" s="170"/>
      <c r="C14" s="976">
        <f>'SC6'!C14</f>
        <v>60882556</v>
      </c>
      <c r="D14" s="755">
        <f>'SC6'!D14</f>
        <v>20000000</v>
      </c>
      <c r="E14" s="743">
        <v>20000000</v>
      </c>
      <c r="F14" s="743">
        <v>3316538.89</v>
      </c>
      <c r="G14" s="743">
        <v>11466900.969999997</v>
      </c>
      <c r="H14" s="743">
        <f t="shared" si="1"/>
        <v>8333333.333333334</v>
      </c>
      <c r="I14" s="45">
        <v>-44417994.426889144</v>
      </c>
      <c r="J14" s="125">
        <v>-0.93673276871418332</v>
      </c>
      <c r="K14" s="745">
        <v>20000000</v>
      </c>
    </row>
    <row r="15" spans="1:11" ht="12.75" customHeight="1" x14ac:dyDescent="0.2">
      <c r="A15" s="399" t="s">
        <v>1443</v>
      </c>
      <c r="B15" s="170"/>
      <c r="C15" s="976">
        <f>'SC6'!C15</f>
        <v>6500000</v>
      </c>
      <c r="D15" s="755">
        <f>'SC6'!D15</f>
        <v>5111000</v>
      </c>
      <c r="E15" s="743">
        <v>5111000</v>
      </c>
      <c r="F15" s="743">
        <v>0</v>
      </c>
      <c r="G15" s="743">
        <v>0</v>
      </c>
      <c r="H15" s="743">
        <f t="shared" si="1"/>
        <v>2129583.3333333335</v>
      </c>
      <c r="I15" s="45">
        <v>-58382556</v>
      </c>
      <c r="J15" s="125">
        <v>-0.95893733502253087</v>
      </c>
      <c r="K15" s="745">
        <v>5111000</v>
      </c>
    </row>
    <row r="16" spans="1:11" ht="12.75" customHeight="1" x14ac:dyDescent="0.2">
      <c r="A16" s="399" t="s">
        <v>1020</v>
      </c>
      <c r="B16" s="170"/>
      <c r="C16" s="976">
        <f>'SC6'!C16</f>
        <v>8000000</v>
      </c>
      <c r="D16" s="755">
        <f>'SC6'!D16</f>
        <v>8000000</v>
      </c>
      <c r="E16" s="743">
        <v>8000000</v>
      </c>
      <c r="F16" s="743">
        <v>0</v>
      </c>
      <c r="G16" s="743">
        <v>2812555.98</v>
      </c>
      <c r="H16" s="743">
        <f t="shared" si="1"/>
        <v>3333333.333333333</v>
      </c>
      <c r="I16" s="45">
        <v>-6500000</v>
      </c>
      <c r="J16" s="125">
        <v>-1</v>
      </c>
      <c r="K16" s="745">
        <v>8000000</v>
      </c>
    </row>
    <row r="17" spans="1:11" ht="12.75" customHeight="1" x14ac:dyDescent="0.2">
      <c r="A17" s="399" t="s">
        <v>1455</v>
      </c>
      <c r="B17" s="170"/>
      <c r="C17" s="976">
        <f>'SC6'!C17</f>
        <v>1400000</v>
      </c>
      <c r="D17" s="755">
        <f>'SC6'!D17</f>
        <v>1933000</v>
      </c>
      <c r="E17" s="743">
        <v>1933000</v>
      </c>
      <c r="F17" s="743">
        <v>0</v>
      </c>
      <c r="G17" s="743">
        <v>0</v>
      </c>
      <c r="H17" s="743">
        <f t="shared" si="1"/>
        <v>805416.66666666674</v>
      </c>
      <c r="I17" s="45">
        <v>0</v>
      </c>
      <c r="J17" s="125">
        <v>-1</v>
      </c>
      <c r="K17" s="745">
        <v>1933000</v>
      </c>
    </row>
    <row r="18" spans="1:11" ht="12.75" customHeight="1" x14ac:dyDescent="0.2">
      <c r="A18" s="972" t="str">
        <f>'SC6'!A18</f>
        <v xml:space="preserve">Intergrated Urban Development  Grant (IUDG) </v>
      </c>
      <c r="B18" s="170"/>
      <c r="C18" s="758">
        <f>'SC6'!C18</f>
        <v>0</v>
      </c>
      <c r="D18" s="755">
        <f>'SC6'!D18</f>
        <v>46915000</v>
      </c>
      <c r="E18" s="743">
        <v>46915000</v>
      </c>
      <c r="F18" s="743">
        <v>5105671.530000031</v>
      </c>
      <c r="G18" s="743">
        <v>10852424.270000031</v>
      </c>
      <c r="H18" s="743">
        <f t="shared" si="1"/>
        <v>19547916.666666668</v>
      </c>
      <c r="I18" s="45">
        <v>19222884.559464961</v>
      </c>
      <c r="J18" s="125">
        <v>-1</v>
      </c>
      <c r="K18" s="745">
        <v>46915000</v>
      </c>
    </row>
    <row r="19" spans="1:11" ht="12.75" customHeight="1" x14ac:dyDescent="0.2">
      <c r="A19" s="972" t="s">
        <v>1455</v>
      </c>
      <c r="B19" s="170"/>
      <c r="C19" s="758">
        <f>'SC6'!C19</f>
        <v>1055000</v>
      </c>
      <c r="D19" s="755">
        <f>'SC6'!D19</f>
        <v>0</v>
      </c>
      <c r="E19" s="743">
        <v>0</v>
      </c>
      <c r="F19" s="743">
        <v>0</v>
      </c>
      <c r="G19" s="743">
        <v>0</v>
      </c>
      <c r="H19" s="743">
        <f t="shared" si="1"/>
        <v>0</v>
      </c>
      <c r="I19" s="45">
        <v>-1400000</v>
      </c>
      <c r="J19" s="125">
        <v>-1</v>
      </c>
      <c r="K19" s="745">
        <v>0</v>
      </c>
    </row>
    <row r="20" spans="1:11" ht="12.75" customHeight="1" x14ac:dyDescent="0.2">
      <c r="A20" s="400" t="str">
        <f>'SC6'!A20</f>
        <v>Provincial Government:</v>
      </c>
      <c r="B20" s="170"/>
      <c r="C20" s="519">
        <f t="shared" ref="C20:I20" si="2">SUM(C21:C25)</f>
        <v>0</v>
      </c>
      <c r="D20" s="478">
        <f t="shared" si="2"/>
        <v>0</v>
      </c>
      <c r="E20" s="433">
        <f t="shared" si="2"/>
        <v>0</v>
      </c>
      <c r="F20" s="433">
        <f t="shared" si="2"/>
        <v>0</v>
      </c>
      <c r="G20" s="433">
        <f t="shared" si="2"/>
        <v>0</v>
      </c>
      <c r="H20" s="433">
        <f t="shared" si="2"/>
        <v>0</v>
      </c>
      <c r="I20" s="433">
        <f t="shared" si="2"/>
        <v>0</v>
      </c>
      <c r="J20" s="562" t="str">
        <f t="shared" ref="J20:J32" si="3">IF(I20=0,"",I20/H20)</f>
        <v/>
      </c>
      <c r="K20" s="516">
        <f>SUM(K21:K25)</f>
        <v>0</v>
      </c>
    </row>
    <row r="21" spans="1:11" ht="12.75" customHeight="1" x14ac:dyDescent="0.2">
      <c r="A21" s="399" t="str">
        <f>'SC6'!A21</f>
        <v>Municipal System Improvemen Grant</v>
      </c>
      <c r="B21" s="170"/>
      <c r="C21" s="789">
        <v>0</v>
      </c>
      <c r="D21" s="790">
        <v>0</v>
      </c>
      <c r="E21" s="744">
        <v>0</v>
      </c>
      <c r="F21" s="744">
        <v>0</v>
      </c>
      <c r="G21" s="744">
        <v>0</v>
      </c>
      <c r="H21" s="744">
        <v>0</v>
      </c>
      <c r="I21" s="517">
        <f t="shared" ref="I21:I31" si="4">G21-H21</f>
        <v>0</v>
      </c>
      <c r="J21" s="561" t="str">
        <f t="shared" si="3"/>
        <v/>
      </c>
      <c r="K21" s="746">
        <f t="shared" ref="K21" si="5">E21</f>
        <v>0</v>
      </c>
    </row>
    <row r="22" spans="1:11" ht="12.75" customHeight="1" x14ac:dyDescent="0.2">
      <c r="A22" s="399">
        <f>'SC6'!A23</f>
        <v>0</v>
      </c>
      <c r="B22" s="170"/>
      <c r="C22" s="758">
        <v>0</v>
      </c>
      <c r="D22" s="755">
        <v>0</v>
      </c>
      <c r="E22" s="743">
        <v>0</v>
      </c>
      <c r="F22" s="743">
        <v>0</v>
      </c>
      <c r="G22" s="743">
        <v>0</v>
      </c>
      <c r="H22" s="743">
        <v>0</v>
      </c>
      <c r="I22" s="45">
        <f t="shared" si="4"/>
        <v>0</v>
      </c>
      <c r="J22" s="125" t="str">
        <f t="shared" si="3"/>
        <v/>
      </c>
      <c r="K22" s="745">
        <v>0</v>
      </c>
    </row>
    <row r="23" spans="1:11" ht="12.75" customHeight="1" x14ac:dyDescent="0.2">
      <c r="A23" s="399" t="s">
        <v>1020</v>
      </c>
      <c r="B23" s="170"/>
      <c r="C23" s="758">
        <v>0</v>
      </c>
      <c r="D23" s="755">
        <v>0</v>
      </c>
      <c r="E23" s="743">
        <v>0</v>
      </c>
      <c r="F23" s="743">
        <v>0</v>
      </c>
      <c r="G23" s="743">
        <v>0</v>
      </c>
      <c r="H23" s="743">
        <v>0</v>
      </c>
      <c r="I23" s="45">
        <f t="shared" si="4"/>
        <v>0</v>
      </c>
      <c r="J23" s="125" t="str">
        <f t="shared" si="3"/>
        <v/>
      </c>
      <c r="K23" s="745">
        <v>0</v>
      </c>
    </row>
    <row r="24" spans="1:11" ht="12.75" customHeight="1" x14ac:dyDescent="0.2">
      <c r="A24" s="399">
        <f>'SC6'!A25</f>
        <v>0</v>
      </c>
      <c r="B24" s="170"/>
      <c r="C24" s="758">
        <v>0</v>
      </c>
      <c r="D24" s="755">
        <v>0</v>
      </c>
      <c r="E24" s="743">
        <v>0</v>
      </c>
      <c r="F24" s="743">
        <v>0</v>
      </c>
      <c r="G24" s="743">
        <v>0</v>
      </c>
      <c r="H24" s="743">
        <v>0</v>
      </c>
      <c r="I24" s="45">
        <f t="shared" si="4"/>
        <v>0</v>
      </c>
      <c r="J24" s="125" t="str">
        <f t="shared" si="3"/>
        <v/>
      </c>
      <c r="K24" s="745">
        <v>0</v>
      </c>
    </row>
    <row r="25" spans="1:11" ht="12.75" customHeight="1" x14ac:dyDescent="0.2">
      <c r="A25" s="399" t="str">
        <f>'SC6'!A26</f>
        <v>Other transfers and grants [insert description]</v>
      </c>
      <c r="B25" s="170"/>
      <c r="C25" s="758">
        <v>0</v>
      </c>
      <c r="D25" s="755">
        <v>0</v>
      </c>
      <c r="E25" s="743">
        <v>0</v>
      </c>
      <c r="F25" s="743">
        <v>0</v>
      </c>
      <c r="G25" s="743">
        <v>0</v>
      </c>
      <c r="H25" s="743">
        <v>0</v>
      </c>
      <c r="I25" s="45">
        <f t="shared" si="4"/>
        <v>0</v>
      </c>
      <c r="J25" s="125" t="str">
        <f t="shared" si="3"/>
        <v/>
      </c>
      <c r="K25" s="745">
        <v>0</v>
      </c>
    </row>
    <row r="26" spans="1:11" ht="12.75" customHeight="1" x14ac:dyDescent="0.2">
      <c r="A26" s="400" t="str">
        <f>'SC6'!A27</f>
        <v>District Municipality:</v>
      </c>
      <c r="B26" s="170"/>
      <c r="C26" s="519">
        <f t="shared" ref="C26:H26" si="6">SUM(C27:C28)</f>
        <v>0</v>
      </c>
      <c r="D26" s="478">
        <f t="shared" si="6"/>
        <v>0</v>
      </c>
      <c r="E26" s="433">
        <f t="shared" si="6"/>
        <v>0</v>
      </c>
      <c r="F26" s="433">
        <v>0</v>
      </c>
      <c r="G26" s="433">
        <f t="shared" si="6"/>
        <v>0</v>
      </c>
      <c r="H26" s="433">
        <f t="shared" si="6"/>
        <v>0</v>
      </c>
      <c r="I26" s="517">
        <f t="shared" si="4"/>
        <v>0</v>
      </c>
      <c r="J26" s="561" t="str">
        <f t="shared" si="3"/>
        <v/>
      </c>
      <c r="K26" s="516">
        <f>SUM(K27:K28)</f>
        <v>0</v>
      </c>
    </row>
    <row r="27" spans="1:11" ht="12.75" customHeight="1" x14ac:dyDescent="0.2">
      <c r="A27" s="400"/>
      <c r="B27" s="170"/>
      <c r="C27" s="793">
        <v>0</v>
      </c>
      <c r="D27" s="794">
        <v>0</v>
      </c>
      <c r="E27" s="747"/>
      <c r="F27" s="747">
        <v>0</v>
      </c>
      <c r="G27" s="747">
        <v>0</v>
      </c>
      <c r="H27" s="747">
        <v>0</v>
      </c>
      <c r="I27" s="517">
        <f t="shared" si="4"/>
        <v>0</v>
      </c>
      <c r="J27" s="561" t="str">
        <f t="shared" si="3"/>
        <v/>
      </c>
      <c r="K27" s="748">
        <f t="shared" ref="K27:K28" si="7">E27</f>
        <v>0</v>
      </c>
    </row>
    <row r="28" spans="1:11" ht="12.75" customHeight="1" x14ac:dyDescent="0.2">
      <c r="A28" s="401" t="s">
        <v>1465</v>
      </c>
      <c r="B28" s="170"/>
      <c r="C28" s="758">
        <v>0</v>
      </c>
      <c r="D28" s="755">
        <v>0</v>
      </c>
      <c r="E28" s="743">
        <v>0</v>
      </c>
      <c r="F28" s="743">
        <v>0</v>
      </c>
      <c r="G28" s="743">
        <v>0</v>
      </c>
      <c r="H28" s="743">
        <v>0</v>
      </c>
      <c r="I28" s="45">
        <f t="shared" si="4"/>
        <v>0</v>
      </c>
      <c r="J28" s="125" t="str">
        <f t="shared" si="3"/>
        <v/>
      </c>
      <c r="K28" s="745">
        <f t="shared" si="7"/>
        <v>0</v>
      </c>
    </row>
    <row r="29" spans="1:11" ht="12.75" customHeight="1" x14ac:dyDescent="0.2">
      <c r="A29" s="400" t="str">
        <f>'SC6'!A30</f>
        <v>Other grant providers:</v>
      </c>
      <c r="B29" s="170"/>
      <c r="C29" s="519">
        <f t="shared" ref="C29:H29" si="8">SUM(C30:C31)</f>
        <v>0</v>
      </c>
      <c r="D29" s="478">
        <f t="shared" si="8"/>
        <v>0</v>
      </c>
      <c r="E29" s="433">
        <f t="shared" si="8"/>
        <v>0</v>
      </c>
      <c r="F29" s="433">
        <f t="shared" si="8"/>
        <v>0</v>
      </c>
      <c r="G29" s="433">
        <f t="shared" si="8"/>
        <v>0</v>
      </c>
      <c r="H29" s="433">
        <f t="shared" si="8"/>
        <v>0</v>
      </c>
      <c r="I29" s="517">
        <f t="shared" si="4"/>
        <v>0</v>
      </c>
      <c r="J29" s="561" t="str">
        <f t="shared" si="3"/>
        <v/>
      </c>
      <c r="K29" s="516">
        <f>SUM(K30:K31)</f>
        <v>0</v>
      </c>
    </row>
    <row r="30" spans="1:11" ht="12.75" customHeight="1" x14ac:dyDescent="0.2">
      <c r="A30" s="400"/>
      <c r="B30" s="170"/>
      <c r="C30" s="793">
        <v>0</v>
      </c>
      <c r="D30" s="794">
        <v>0</v>
      </c>
      <c r="E30" s="747">
        <v>0</v>
      </c>
      <c r="F30" s="747">
        <v>0</v>
      </c>
      <c r="G30" s="747">
        <v>0</v>
      </c>
      <c r="H30" s="747">
        <v>0</v>
      </c>
      <c r="I30" s="517">
        <f t="shared" si="4"/>
        <v>0</v>
      </c>
      <c r="J30" s="561" t="str">
        <f t="shared" si="3"/>
        <v/>
      </c>
      <c r="K30" s="748">
        <v>0</v>
      </c>
    </row>
    <row r="31" spans="1:11" ht="12.75" customHeight="1" x14ac:dyDescent="0.2">
      <c r="A31" s="401" t="str">
        <f>'SC6'!A31</f>
        <v>[insert description]</v>
      </c>
      <c r="B31" s="170"/>
      <c r="C31" s="758">
        <v>0</v>
      </c>
      <c r="D31" s="755">
        <v>0</v>
      </c>
      <c r="E31" s="743">
        <v>0</v>
      </c>
      <c r="F31" s="743">
        <v>0</v>
      </c>
      <c r="G31" s="743">
        <v>0</v>
      </c>
      <c r="H31" s="743">
        <v>0</v>
      </c>
      <c r="I31" s="45">
        <f t="shared" si="4"/>
        <v>0</v>
      </c>
      <c r="J31" s="125" t="str">
        <f t="shared" si="3"/>
        <v/>
      </c>
      <c r="K31" s="745">
        <v>0</v>
      </c>
    </row>
    <row r="32" spans="1:11" ht="12.75" customHeight="1" x14ac:dyDescent="0.2">
      <c r="A32" s="567" t="s">
        <v>58</v>
      </c>
      <c r="B32" s="234"/>
      <c r="C32" s="244">
        <f t="shared" ref="C32:H32" si="9">C8+C20+C26+C29</f>
        <v>993383556</v>
      </c>
      <c r="D32" s="75">
        <f t="shared" si="9"/>
        <v>1039367000</v>
      </c>
      <c r="E32" s="74">
        <f t="shared" si="9"/>
        <v>1039367000</v>
      </c>
      <c r="F32" s="74">
        <f t="shared" si="9"/>
        <v>10522046.080000032</v>
      </c>
      <c r="G32" s="74">
        <f t="shared" si="9"/>
        <v>418367079.45850009</v>
      </c>
      <c r="H32" s="74">
        <f t="shared" si="9"/>
        <v>433069583.33333337</v>
      </c>
      <c r="I32" s="74"/>
      <c r="J32" s="307" t="str">
        <f t="shared" si="3"/>
        <v/>
      </c>
      <c r="K32" s="146">
        <f>K8+K20+K26+K29</f>
        <v>1039367000</v>
      </c>
    </row>
    <row r="33" spans="1:11" ht="5.0999999999999996" customHeight="1" x14ac:dyDescent="0.2">
      <c r="A33" s="43"/>
      <c r="B33" s="170"/>
      <c r="C33" s="135"/>
      <c r="D33" s="47"/>
      <c r="E33" s="45"/>
      <c r="F33" s="45"/>
      <c r="G33" s="45"/>
      <c r="H33" s="45"/>
      <c r="I33" s="45"/>
      <c r="J33" s="125"/>
      <c r="K33" s="145"/>
    </row>
    <row r="34" spans="1:11" ht="12.75" customHeight="1" x14ac:dyDescent="0.2">
      <c r="A34" s="553" t="s">
        <v>59</v>
      </c>
      <c r="B34" s="170"/>
      <c r="C34" s="135"/>
      <c r="D34" s="47"/>
      <c r="E34" s="45"/>
      <c r="F34" s="45"/>
      <c r="G34" s="45"/>
      <c r="H34" s="45"/>
      <c r="I34" s="45"/>
      <c r="J34" s="125"/>
      <c r="K34" s="145"/>
    </row>
    <row r="35" spans="1:11" ht="13.5" customHeight="1" x14ac:dyDescent="0.2">
      <c r="A35" s="345" t="str">
        <f>'SC6'!A41</f>
        <v>National Government:</v>
      </c>
      <c r="B35" s="170"/>
      <c r="C35" s="135">
        <f t="shared" ref="C35" si="10">SUM(C36:C41)</f>
        <v>1062627508.4356489</v>
      </c>
      <c r="D35" s="47">
        <f>SUM(D36:D42)</f>
        <v>1267136000</v>
      </c>
      <c r="E35" s="45">
        <f>SUM(E36:E42)</f>
        <v>1267136000</v>
      </c>
      <c r="F35" s="45">
        <f t="shared" ref="F35:H35" si="11">SUM(F36:F42)</f>
        <v>109172713.90500002</v>
      </c>
      <c r="G35" s="45">
        <f t="shared" si="11"/>
        <v>344346411.41500002</v>
      </c>
      <c r="H35" s="45">
        <f t="shared" si="11"/>
        <v>527973333.33333337</v>
      </c>
      <c r="I35" s="45">
        <f>SUM(I36:I42)</f>
        <v>-102151191.04716665</v>
      </c>
      <c r="J35" s="45">
        <f t="shared" ref="J35" si="12">SUM(J36:J42)</f>
        <v>-0.41858899482426182</v>
      </c>
      <c r="K35" s="45">
        <f t="shared" ref="K35" si="13">SUM(K36:K42)</f>
        <v>1267136000</v>
      </c>
    </row>
    <row r="36" spans="1:11" ht="12.75" customHeight="1" x14ac:dyDescent="0.2">
      <c r="A36" s="399" t="str">
        <f>'SC6'!A42</f>
        <v xml:space="preserve"> Municipal Infrastructure Grant (MIG)</v>
      </c>
      <c r="B36" s="170"/>
      <c r="C36" s="975">
        <v>259471880.12099996</v>
      </c>
      <c r="D36" s="790">
        <v>0</v>
      </c>
      <c r="E36" s="744">
        <v>0</v>
      </c>
      <c r="F36" s="744">
        <v>0</v>
      </c>
      <c r="G36" s="744">
        <v>0</v>
      </c>
      <c r="H36" s="744">
        <f t="shared" ref="H36:H42" si="14">E36/12*5</f>
        <v>0</v>
      </c>
      <c r="I36" s="517">
        <f t="shared" ref="I36:I51" si="15">G36-H36</f>
        <v>0</v>
      </c>
      <c r="J36" s="561" t="str">
        <f t="shared" ref="J36:J52" si="16">IF(I36=0,"",I36/H36)</f>
        <v/>
      </c>
      <c r="K36" s="746">
        <v>0</v>
      </c>
    </row>
    <row r="37" spans="1:11" ht="12.75" customHeight="1" x14ac:dyDescent="0.2">
      <c r="A37" s="399" t="s">
        <v>1444</v>
      </c>
      <c r="B37" s="170"/>
      <c r="C37" s="974">
        <v>305655470.95564902</v>
      </c>
      <c r="D37" s="755">
        <v>159433000</v>
      </c>
      <c r="E37" s="743">
        <v>159433000</v>
      </c>
      <c r="F37" s="743">
        <v>2760400.7289999998</v>
      </c>
      <c r="G37" s="743">
        <v>15331970.0735</v>
      </c>
      <c r="H37" s="743">
        <f t="shared" si="14"/>
        <v>66430416.666666672</v>
      </c>
      <c r="I37" s="45">
        <f t="shared" si="15"/>
        <v>-51098446.593166672</v>
      </c>
      <c r="J37" s="125">
        <f t="shared" si="16"/>
        <v>-0.76920256047116975</v>
      </c>
      <c r="K37" s="745">
        <v>159433000</v>
      </c>
    </row>
    <row r="38" spans="1:11" ht="12.75" customHeight="1" x14ac:dyDescent="0.2">
      <c r="A38" s="399" t="s">
        <v>1029</v>
      </c>
      <c r="B38" s="170"/>
      <c r="C38" s="974">
        <v>368505000</v>
      </c>
      <c r="D38" s="755">
        <v>630998000</v>
      </c>
      <c r="E38" s="743">
        <v>630998000</v>
      </c>
      <c r="F38" s="743">
        <v>63546523.521000005</v>
      </c>
      <c r="G38" s="743">
        <v>216006147.11050001</v>
      </c>
      <c r="H38" s="743">
        <f t="shared" si="14"/>
        <v>262915833.33333331</v>
      </c>
      <c r="I38" s="45">
        <f t="shared" si="15"/>
        <v>-46909686.222833306</v>
      </c>
      <c r="J38" s="125">
        <f t="shared" si="16"/>
        <v>-0.17842092516109392</v>
      </c>
      <c r="K38" s="745">
        <v>630998000</v>
      </c>
    </row>
    <row r="39" spans="1:11" ht="12.75" customHeight="1" x14ac:dyDescent="0.2">
      <c r="A39" s="399" t="s">
        <v>1031</v>
      </c>
      <c r="B39" s="170"/>
      <c r="C39" s="974">
        <v>39666042.990500003</v>
      </c>
      <c r="D39" s="755">
        <v>40613000</v>
      </c>
      <c r="E39" s="743">
        <v>40613000</v>
      </c>
      <c r="F39" s="743">
        <v>3905315.9810000006</v>
      </c>
      <c r="G39" s="743">
        <v>6683946.188000001</v>
      </c>
      <c r="H39" s="743">
        <f t="shared" si="14"/>
        <v>16922083.333333332</v>
      </c>
      <c r="I39" s="45">
        <f t="shared" si="15"/>
        <v>-10238137.145333331</v>
      </c>
      <c r="J39" s="125">
        <f t="shared" si="16"/>
        <v>-0.60501635310861046</v>
      </c>
      <c r="K39" s="745">
        <v>40613000</v>
      </c>
    </row>
    <row r="40" spans="1:11" ht="12.75" customHeight="1" x14ac:dyDescent="0.2">
      <c r="A40" s="399" t="s">
        <v>1455</v>
      </c>
      <c r="B40" s="170"/>
      <c r="C40" s="974">
        <v>89329114.368499994</v>
      </c>
      <c r="D40" s="755">
        <v>94717000</v>
      </c>
      <c r="E40" s="743">
        <v>94717000</v>
      </c>
      <c r="F40" s="743">
        <v>14170373.1975</v>
      </c>
      <c r="G40" s="743">
        <v>40996982.925500005</v>
      </c>
      <c r="H40" s="743">
        <f t="shared" si="14"/>
        <v>39465416.666666664</v>
      </c>
      <c r="I40" s="45">
        <f t="shared" si="15"/>
        <v>1531566.2588333413</v>
      </c>
      <c r="J40" s="125">
        <f t="shared" si="16"/>
        <v>3.880780663661243E-2</v>
      </c>
      <c r="K40" s="745">
        <v>94717000</v>
      </c>
    </row>
    <row r="41" spans="1:11" ht="12.75" customHeight="1" x14ac:dyDescent="0.2">
      <c r="A41" s="399" t="str">
        <f>'SC6'!A51</f>
        <v>Other capital transfers [insert description]</v>
      </c>
      <c r="B41" s="170"/>
      <c r="C41" s="974">
        <v>0</v>
      </c>
      <c r="D41" s="755">
        <v>10000000</v>
      </c>
      <c r="E41" s="743">
        <v>10000000</v>
      </c>
      <c r="F41" s="743">
        <v>4136950.7749999999</v>
      </c>
      <c r="G41" s="743">
        <v>8730179.3220000006</v>
      </c>
      <c r="H41" s="743">
        <f t="shared" si="14"/>
        <v>4166666.666666667</v>
      </c>
      <c r="I41" s="45">
        <f t="shared" si="15"/>
        <v>4563512.6553333336</v>
      </c>
      <c r="J41" s="125">
        <f t="shared" si="16"/>
        <v>1.0952430372799999</v>
      </c>
      <c r="K41" s="745">
        <v>10000000</v>
      </c>
    </row>
    <row r="42" spans="1:11" ht="12.75" customHeight="1" x14ac:dyDescent="0.2">
      <c r="A42" s="399"/>
      <c r="B42" s="170"/>
      <c r="C42" s="976">
        <v>0</v>
      </c>
      <c r="D42" s="755">
        <v>331375000</v>
      </c>
      <c r="E42" s="743">
        <v>331375000</v>
      </c>
      <c r="F42" s="743">
        <v>20653149.701500002</v>
      </c>
      <c r="G42" s="743">
        <v>56597185.795499995</v>
      </c>
      <c r="H42" s="743">
        <f t="shared" si="14"/>
        <v>138072916.66666666</v>
      </c>
      <c r="I42" s="45"/>
      <c r="J42" s="125"/>
      <c r="K42" s="745">
        <v>331375000</v>
      </c>
    </row>
    <row r="43" spans="1:11" ht="12.75" customHeight="1" x14ac:dyDescent="0.2">
      <c r="A43" s="400" t="str">
        <f>'SC6'!A52</f>
        <v>Provincial Government:</v>
      </c>
      <c r="B43" s="170"/>
      <c r="C43" s="519">
        <v>0</v>
      </c>
      <c r="D43" s="478">
        <v>0</v>
      </c>
      <c r="E43" s="433">
        <f t="shared" ref="E43:H43" si="17">SUM(E44:E45)</f>
        <v>0</v>
      </c>
      <c r="F43" s="433">
        <f t="shared" si="17"/>
        <v>0</v>
      </c>
      <c r="G43" s="433">
        <f t="shared" si="17"/>
        <v>0</v>
      </c>
      <c r="H43" s="433">
        <f t="shared" si="17"/>
        <v>0</v>
      </c>
      <c r="I43" s="517">
        <f t="shared" si="15"/>
        <v>0</v>
      </c>
      <c r="J43" s="561" t="str">
        <f t="shared" si="16"/>
        <v/>
      </c>
      <c r="K43" s="516">
        <f>SUM(K44:K45)</f>
        <v>0</v>
      </c>
    </row>
    <row r="44" spans="1:11" ht="12.75" customHeight="1" x14ac:dyDescent="0.2">
      <c r="A44" s="400"/>
      <c r="B44" s="170"/>
      <c r="C44" s="793">
        <v>0</v>
      </c>
      <c r="D44" s="794">
        <v>0</v>
      </c>
      <c r="E44" s="747">
        <v>0</v>
      </c>
      <c r="F44" s="747">
        <v>0</v>
      </c>
      <c r="G44" s="747">
        <v>0</v>
      </c>
      <c r="H44" s="747">
        <v>0</v>
      </c>
      <c r="I44" s="517">
        <f t="shared" si="15"/>
        <v>0</v>
      </c>
      <c r="J44" s="561" t="str">
        <f t="shared" si="16"/>
        <v/>
      </c>
      <c r="K44" s="748">
        <v>0</v>
      </c>
    </row>
    <row r="45" spans="1:11" ht="12.75" customHeight="1" x14ac:dyDescent="0.2">
      <c r="A45" s="399">
        <f>'SC6'!A58</f>
        <v>0</v>
      </c>
      <c r="B45" s="170"/>
      <c r="C45" s="758">
        <v>0</v>
      </c>
      <c r="D45" s="755">
        <v>0</v>
      </c>
      <c r="E45" s="743">
        <v>0</v>
      </c>
      <c r="F45" s="743">
        <v>0</v>
      </c>
      <c r="G45" s="743">
        <v>0</v>
      </c>
      <c r="H45" s="743">
        <v>0</v>
      </c>
      <c r="I45" s="45">
        <f t="shared" si="15"/>
        <v>0</v>
      </c>
      <c r="J45" s="125" t="str">
        <f t="shared" si="16"/>
        <v/>
      </c>
      <c r="K45" s="745">
        <v>0</v>
      </c>
    </row>
    <row r="46" spans="1:11" ht="12.75" customHeight="1" x14ac:dyDescent="0.2">
      <c r="A46" s="400" t="str">
        <f>'SC6'!A59</f>
        <v>District Municipality:</v>
      </c>
      <c r="B46" s="170"/>
      <c r="C46" s="519">
        <f t="shared" ref="C46:H46" si="18">SUM(C47:C48)</f>
        <v>0</v>
      </c>
      <c r="D46" s="478">
        <f t="shared" si="18"/>
        <v>0</v>
      </c>
      <c r="E46" s="433">
        <f t="shared" si="18"/>
        <v>0</v>
      </c>
      <c r="F46" s="433">
        <f t="shared" si="18"/>
        <v>0</v>
      </c>
      <c r="G46" s="433">
        <f t="shared" si="18"/>
        <v>0</v>
      </c>
      <c r="H46" s="433">
        <f t="shared" si="18"/>
        <v>0</v>
      </c>
      <c r="I46" s="517">
        <f t="shared" si="15"/>
        <v>0</v>
      </c>
      <c r="J46" s="561" t="str">
        <f t="shared" si="16"/>
        <v/>
      </c>
      <c r="K46" s="516">
        <f>SUM(K47:K48)</f>
        <v>0</v>
      </c>
    </row>
    <row r="47" spans="1:11" ht="12.75" customHeight="1" x14ac:dyDescent="0.2">
      <c r="A47" s="400"/>
      <c r="B47" s="170"/>
      <c r="C47" s="793">
        <v>0</v>
      </c>
      <c r="D47" s="794">
        <v>0</v>
      </c>
      <c r="E47" s="747">
        <v>0</v>
      </c>
      <c r="F47" s="747">
        <v>0</v>
      </c>
      <c r="G47" s="747">
        <v>0</v>
      </c>
      <c r="H47" s="747">
        <v>0</v>
      </c>
      <c r="I47" s="517">
        <f t="shared" si="15"/>
        <v>0</v>
      </c>
      <c r="J47" s="561" t="str">
        <f t="shared" si="16"/>
        <v/>
      </c>
      <c r="K47" s="748">
        <v>0</v>
      </c>
    </row>
    <row r="48" spans="1:11" ht="12.75" customHeight="1" x14ac:dyDescent="0.2">
      <c r="A48" s="401">
        <f>'SC6'!A61</f>
        <v>0</v>
      </c>
      <c r="B48" s="170"/>
      <c r="C48" s="758">
        <v>0</v>
      </c>
      <c r="D48" s="755">
        <v>0</v>
      </c>
      <c r="E48" s="743">
        <v>0</v>
      </c>
      <c r="F48" s="743">
        <v>0</v>
      </c>
      <c r="G48" s="743">
        <v>0</v>
      </c>
      <c r="H48" s="743">
        <v>0</v>
      </c>
      <c r="I48" s="45">
        <f t="shared" si="15"/>
        <v>0</v>
      </c>
      <c r="J48" s="125" t="str">
        <f t="shared" si="16"/>
        <v/>
      </c>
      <c r="K48" s="745">
        <v>0</v>
      </c>
    </row>
    <row r="49" spans="1:11" ht="12.75" customHeight="1" x14ac:dyDescent="0.2">
      <c r="A49" s="400" t="str">
        <f>'SC6'!A62</f>
        <v>Other grant providers:</v>
      </c>
      <c r="B49" s="170"/>
      <c r="C49" s="519">
        <f t="shared" ref="C49:H49" si="19">SUM(C50:C51)</f>
        <v>0</v>
      </c>
      <c r="D49" s="478">
        <f t="shared" si="19"/>
        <v>0</v>
      </c>
      <c r="E49" s="433">
        <f t="shared" si="19"/>
        <v>0</v>
      </c>
      <c r="F49" s="433">
        <f t="shared" si="19"/>
        <v>0</v>
      </c>
      <c r="G49" s="433">
        <f t="shared" si="19"/>
        <v>0</v>
      </c>
      <c r="H49" s="433">
        <f t="shared" si="19"/>
        <v>0</v>
      </c>
      <c r="I49" s="517">
        <f t="shared" si="15"/>
        <v>0</v>
      </c>
      <c r="J49" s="561" t="str">
        <f t="shared" si="16"/>
        <v/>
      </c>
      <c r="K49" s="516">
        <f>SUM(K50:K51)</f>
        <v>0</v>
      </c>
    </row>
    <row r="50" spans="1:11" ht="12.75" customHeight="1" x14ac:dyDescent="0.2">
      <c r="A50" s="400"/>
      <c r="B50" s="170"/>
      <c r="C50" s="793">
        <v>0</v>
      </c>
      <c r="D50" s="794">
        <v>0</v>
      </c>
      <c r="E50" s="747">
        <v>0</v>
      </c>
      <c r="F50" s="747">
        <v>0</v>
      </c>
      <c r="G50" s="747">
        <v>0</v>
      </c>
      <c r="H50" s="747">
        <v>0</v>
      </c>
      <c r="I50" s="517">
        <f t="shared" si="15"/>
        <v>0</v>
      </c>
      <c r="J50" s="561" t="str">
        <f t="shared" si="16"/>
        <v/>
      </c>
      <c r="K50" s="748">
        <v>0</v>
      </c>
    </row>
    <row r="51" spans="1:11" ht="12.75" customHeight="1" x14ac:dyDescent="0.2">
      <c r="A51" s="401">
        <f>'SC6'!A68</f>
        <v>0</v>
      </c>
      <c r="B51" s="170"/>
      <c r="C51" s="758">
        <v>0</v>
      </c>
      <c r="D51" s="755">
        <v>0</v>
      </c>
      <c r="E51" s="743">
        <v>0</v>
      </c>
      <c r="F51" s="743">
        <v>0</v>
      </c>
      <c r="G51" s="743">
        <v>0</v>
      </c>
      <c r="H51" s="743">
        <v>0</v>
      </c>
      <c r="I51" s="45">
        <f t="shared" si="15"/>
        <v>0</v>
      </c>
      <c r="J51" s="125" t="str">
        <f t="shared" si="16"/>
        <v/>
      </c>
      <c r="K51" s="745">
        <v>0</v>
      </c>
    </row>
    <row r="52" spans="1:11" ht="12.75" customHeight="1" x14ac:dyDescent="0.2">
      <c r="A52" s="566" t="s">
        <v>60</v>
      </c>
      <c r="B52" s="234"/>
      <c r="C52" s="244">
        <f t="shared" ref="C52:I52" si="20">C35+C43+C46+C49</f>
        <v>1062627508.4356489</v>
      </c>
      <c r="D52" s="75">
        <f t="shared" si="20"/>
        <v>1267136000</v>
      </c>
      <c r="E52" s="74">
        <f t="shared" si="20"/>
        <v>1267136000</v>
      </c>
      <c r="F52" s="74">
        <f t="shared" si="20"/>
        <v>109172713.90500002</v>
      </c>
      <c r="G52" s="74">
        <f t="shared" si="20"/>
        <v>344346411.41500002</v>
      </c>
      <c r="H52" s="74">
        <f t="shared" si="20"/>
        <v>527973333.33333337</v>
      </c>
      <c r="I52" s="74">
        <f t="shared" si="20"/>
        <v>-102151191.04716665</v>
      </c>
      <c r="J52" s="307">
        <f t="shared" si="16"/>
        <v>-0.1934779364750113</v>
      </c>
      <c r="K52" s="146">
        <f>K35+K43+K46+K49</f>
        <v>1267136000</v>
      </c>
    </row>
    <row r="53" spans="1:11" ht="5.0999999999999996" customHeight="1" x14ac:dyDescent="0.2">
      <c r="A53" s="552"/>
      <c r="B53" s="170"/>
      <c r="C53" s="135"/>
      <c r="D53" s="47"/>
      <c r="E53" s="45"/>
      <c r="F53" s="45"/>
      <c r="G53" s="45"/>
      <c r="H53" s="45"/>
      <c r="I53" s="45"/>
      <c r="J53" s="125"/>
      <c r="K53" s="145"/>
    </row>
    <row r="54" spans="1:11" ht="12.75" customHeight="1" x14ac:dyDescent="0.2">
      <c r="A54" s="696" t="s">
        <v>136</v>
      </c>
      <c r="B54" s="286"/>
      <c r="C54" s="113">
        <f>C32+C52</f>
        <v>2056011064.4356489</v>
      </c>
      <c r="D54" s="57">
        <f t="shared" ref="D54:I54" si="21">D32+D52</f>
        <v>2306503000</v>
      </c>
      <c r="E54" s="56">
        <f t="shared" si="21"/>
        <v>2306503000</v>
      </c>
      <c r="F54" s="56">
        <f>F32+F52</f>
        <v>119694759.98500004</v>
      </c>
      <c r="G54" s="56">
        <f>G32+G52</f>
        <v>762713490.87350011</v>
      </c>
      <c r="H54" s="56">
        <f t="shared" si="21"/>
        <v>961042916.66666675</v>
      </c>
      <c r="I54" s="56">
        <f t="shared" si="21"/>
        <v>-102151191.04716665</v>
      </c>
      <c r="J54" s="293">
        <f>IF(I54=0,"",I54/H54)</f>
        <v>-0.10629201805209008</v>
      </c>
      <c r="K54" s="236">
        <f>K32+K52</f>
        <v>2306503000</v>
      </c>
    </row>
    <row r="55" spans="1:11" ht="12.75" customHeight="1" x14ac:dyDescent="0.2">
      <c r="A55" s="58" t="str">
        <f>head27a</f>
        <v>References</v>
      </c>
      <c r="B55" s="59"/>
      <c r="C55" s="63"/>
      <c r="D55" s="63"/>
      <c r="E55" s="63"/>
      <c r="F55" s="63"/>
      <c r="G55" s="63"/>
      <c r="H55" s="63"/>
      <c r="I55" s="63"/>
      <c r="J55" s="63"/>
      <c r="K55" s="63"/>
    </row>
    <row r="56" spans="1:11" ht="12.75" customHeight="1" x14ac:dyDescent="0.2">
      <c r="A56" s="81"/>
      <c r="B56" s="59"/>
      <c r="C56" s="68"/>
      <c r="D56" s="68"/>
      <c r="E56" s="68"/>
      <c r="F56" s="68"/>
      <c r="G56" s="68"/>
      <c r="H56" s="68"/>
      <c r="I56" s="68"/>
      <c r="J56" s="68"/>
      <c r="K56" s="68"/>
    </row>
    <row r="57" spans="1:11" ht="11.25" customHeight="1" x14ac:dyDescent="0.2"/>
    <row r="58" spans="1:11" ht="11.25" customHeight="1" x14ac:dyDescent="0.2">
      <c r="F58" s="63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electLockedCells="1" selectUnlockedCells="1"/>
  <mergeCells count="3">
    <mergeCell ref="A2:A3"/>
    <mergeCell ref="B2:B3"/>
    <mergeCell ref="A1:K1"/>
  </mergeCells>
  <phoneticPr fontId="9" type="noConversion"/>
  <printOptions horizontalCentered="1"/>
  <pageMargins left="0.35" right="0.14000000000000001" top="0.77" bottom="0.6" header="0.51181102362204722" footer="0.51"/>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K14" sqref="K14"/>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42" t="str">
        <f>muni&amp; " - "&amp;S71T&amp; " - "&amp;Head57</f>
        <v>LIM354 Polokwane - Supporting Table SC7(2) Monthly Budget Statement - Expenditure against approved rollovers - M05 November</v>
      </c>
      <c r="B1" s="1042"/>
      <c r="C1" s="1042"/>
      <c r="D1" s="1042"/>
      <c r="E1" s="1042"/>
      <c r="F1" s="1042"/>
      <c r="G1" s="1042"/>
    </row>
    <row r="2" spans="1:7" ht="21.75" customHeight="1" x14ac:dyDescent="0.2">
      <c r="A2" s="1031" t="str">
        <f>desc</f>
        <v>Description</v>
      </c>
      <c r="B2" s="1024" t="str">
        <f>head27</f>
        <v>Ref</v>
      </c>
      <c r="C2" s="1026" t="str">
        <f>Head2</f>
        <v>Budget Year 2019/20</v>
      </c>
      <c r="D2" s="1027"/>
      <c r="E2" s="1027"/>
      <c r="F2" s="1027"/>
      <c r="G2" s="1028"/>
    </row>
    <row r="3" spans="1:7" ht="39.75" customHeight="1" x14ac:dyDescent="0.2">
      <c r="A3" s="1032"/>
      <c r="B3" s="1035"/>
      <c r="C3" s="200" t="str">
        <f>"Approved Rollover " &amp;Head1</f>
        <v>Approved Rollover 2018/19</v>
      </c>
      <c r="D3" s="142" t="str">
        <f>Head38</f>
        <v>Monthly actual</v>
      </c>
      <c r="E3" s="142" t="str">
        <f>Head39</f>
        <v>YearTD actual</v>
      </c>
      <c r="F3" s="142" t="str">
        <f>Head41</f>
        <v>YTD variance</v>
      </c>
      <c r="G3" s="914" t="str">
        <f>Head41</f>
        <v>YTD variance</v>
      </c>
    </row>
    <row r="4" spans="1:7" x14ac:dyDescent="0.2">
      <c r="A4" s="294" t="s">
        <v>687</v>
      </c>
      <c r="B4" s="249"/>
      <c r="C4" s="296"/>
      <c r="D4" s="298"/>
      <c r="E4" s="913"/>
      <c r="F4" s="298"/>
      <c r="G4" s="915" t="s">
        <v>594</v>
      </c>
    </row>
    <row r="5" spans="1:7" ht="12.75" customHeight="1" x14ac:dyDescent="0.2">
      <c r="A5" s="137" t="s">
        <v>553</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1114</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v>0</v>
      </c>
      <c r="D9" s="744">
        <v>0</v>
      </c>
      <c r="E9" s="744">
        <v>0</v>
      </c>
      <c r="F9" s="517">
        <f>E9-C9</f>
        <v>0</v>
      </c>
      <c r="G9" s="917" t="str">
        <f t="shared" ref="G9:G49" si="0">IF(F9=0,"",F9/C9)</f>
        <v/>
      </c>
    </row>
    <row r="10" spans="1:7" ht="12.75" customHeight="1" x14ac:dyDescent="0.2">
      <c r="A10" s="399" t="str">
        <f>'SC6'!A10</f>
        <v>EPWP Incentive</v>
      </c>
      <c r="B10" s="170"/>
      <c r="C10" s="755">
        <v>0</v>
      </c>
      <c r="D10" s="743">
        <v>0</v>
      </c>
      <c r="E10" s="743">
        <v>0</v>
      </c>
      <c r="F10" s="45">
        <f t="shared" ref="F10:F15" si="1">C10-E10</f>
        <v>0</v>
      </c>
      <c r="G10" s="277" t="str">
        <f t="shared" si="0"/>
        <v/>
      </c>
    </row>
    <row r="11" spans="1:7" ht="12.75" customHeight="1" x14ac:dyDescent="0.2">
      <c r="A11" s="399" t="str">
        <f>'SC6'!A11</f>
        <v>Integrated National Electrification Programme</v>
      </c>
      <c r="B11" s="170"/>
      <c r="C11" s="755">
        <v>0</v>
      </c>
      <c r="D11" s="743">
        <v>0</v>
      </c>
      <c r="E11" s="743">
        <v>0</v>
      </c>
      <c r="F11" s="45">
        <f t="shared" si="1"/>
        <v>0</v>
      </c>
      <c r="G11" s="277" t="str">
        <f t="shared" si="0"/>
        <v/>
      </c>
    </row>
    <row r="12" spans="1:7" ht="12.75" customHeight="1" x14ac:dyDescent="0.2">
      <c r="A12" s="399" t="str">
        <f>'SC6'!A12</f>
        <v xml:space="preserve">Finance Management </v>
      </c>
      <c r="B12" s="170"/>
      <c r="C12" s="755">
        <v>0</v>
      </c>
      <c r="D12" s="743">
        <v>0</v>
      </c>
      <c r="E12" s="743">
        <v>0</v>
      </c>
      <c r="F12" s="45">
        <f t="shared" si="1"/>
        <v>0</v>
      </c>
      <c r="G12" s="277" t="str">
        <f t="shared" si="0"/>
        <v/>
      </c>
    </row>
    <row r="13" spans="1:7" ht="12.75" customHeight="1" x14ac:dyDescent="0.2">
      <c r="A13" s="399" t="str">
        <f>'SC6'!A13</f>
        <v>Municipal Infrastructure Grant (MIG)</v>
      </c>
      <c r="B13" s="170"/>
      <c r="C13" s="755">
        <v>0</v>
      </c>
      <c r="D13" s="743">
        <v>0</v>
      </c>
      <c r="E13" s="743">
        <v>0</v>
      </c>
      <c r="F13" s="45">
        <f t="shared" si="1"/>
        <v>0</v>
      </c>
      <c r="G13" s="277" t="str">
        <f t="shared" si="0"/>
        <v/>
      </c>
    </row>
    <row r="14" spans="1:7" ht="12.75" customHeight="1" x14ac:dyDescent="0.2">
      <c r="A14" s="399" t="str">
        <f>'SC6'!A14</f>
        <v xml:space="preserve"> Public Transport and Systems</v>
      </c>
      <c r="B14" s="170"/>
      <c r="C14" s="755">
        <v>0</v>
      </c>
      <c r="D14" s="743">
        <v>0</v>
      </c>
      <c r="E14" s="743">
        <v>0</v>
      </c>
      <c r="F14" s="45">
        <f t="shared" si="1"/>
        <v>0</v>
      </c>
      <c r="G14" s="277" t="str">
        <f t="shared" si="0"/>
        <v/>
      </c>
    </row>
    <row r="15" spans="1:7" ht="12.75" customHeight="1" x14ac:dyDescent="0.2">
      <c r="A15" s="399" t="str">
        <f>'SC6'!A19</f>
        <v>Municipal System Improvemen Grant</v>
      </c>
      <c r="B15" s="170"/>
      <c r="C15" s="755">
        <v>0</v>
      </c>
      <c r="D15" s="743">
        <v>0</v>
      </c>
      <c r="E15" s="743">
        <v>0</v>
      </c>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t="str">
        <f>'SC6'!A21</f>
        <v>Municipal System Improvemen Grant</v>
      </c>
      <c r="B17" s="170"/>
      <c r="C17" s="790">
        <v>0</v>
      </c>
      <c r="D17" s="744">
        <v>0</v>
      </c>
      <c r="E17" s="744">
        <v>0</v>
      </c>
      <c r="F17" s="517">
        <f>C17-E17</f>
        <v>0</v>
      </c>
      <c r="G17" s="917" t="str">
        <f t="shared" si="0"/>
        <v/>
      </c>
    </row>
    <row r="18" spans="1:7" ht="12.75" customHeight="1" x14ac:dyDescent="0.2">
      <c r="A18" s="399">
        <f>'SC6'!A23</f>
        <v>0</v>
      </c>
      <c r="B18" s="170"/>
      <c r="C18" s="755">
        <v>0</v>
      </c>
      <c r="D18" s="743">
        <v>0</v>
      </c>
      <c r="E18" s="743">
        <v>0</v>
      </c>
      <c r="F18" s="45">
        <f>C18-E18</f>
        <v>0</v>
      </c>
      <c r="G18" s="277" t="str">
        <f t="shared" si="0"/>
        <v/>
      </c>
    </row>
    <row r="19" spans="1:7" ht="12.75" customHeight="1" x14ac:dyDescent="0.2">
      <c r="A19" s="399">
        <f>'SC6'!A24</f>
        <v>0</v>
      </c>
      <c r="B19" s="170"/>
      <c r="C19" s="755">
        <v>0</v>
      </c>
      <c r="D19" s="743">
        <v>0</v>
      </c>
      <c r="E19" s="743">
        <v>0</v>
      </c>
      <c r="F19" s="45">
        <f>C19-E19</f>
        <v>0</v>
      </c>
      <c r="G19" s="277" t="str">
        <f t="shared" si="0"/>
        <v/>
      </c>
    </row>
    <row r="20" spans="1:7" ht="12.75" customHeight="1" x14ac:dyDescent="0.2">
      <c r="A20" s="399">
        <f>'SC6'!A25</f>
        <v>0</v>
      </c>
      <c r="B20" s="170"/>
      <c r="C20" s="755">
        <v>0</v>
      </c>
      <c r="D20" s="743">
        <v>0</v>
      </c>
      <c r="E20" s="743">
        <v>0</v>
      </c>
      <c r="F20" s="45">
        <f>C20-E20</f>
        <v>0</v>
      </c>
      <c r="G20" s="277" t="str">
        <f t="shared" si="0"/>
        <v/>
      </c>
    </row>
    <row r="21" spans="1:7" ht="12.75" customHeight="1" x14ac:dyDescent="0.2">
      <c r="A21" s="399" t="str">
        <f>'SC6'!A26</f>
        <v>Other transfers and grants [insert description]</v>
      </c>
      <c r="B21" s="170"/>
      <c r="C21" s="755">
        <v>0</v>
      </c>
      <c r="D21" s="743">
        <v>0</v>
      </c>
      <c r="E21" s="743">
        <v>0</v>
      </c>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v>0</v>
      </c>
      <c r="D23" s="747">
        <v>0</v>
      </c>
      <c r="E23" s="747">
        <v>0</v>
      </c>
      <c r="F23" s="517">
        <f>C23-E23</f>
        <v>0</v>
      </c>
      <c r="G23" s="917" t="str">
        <f t="shared" si="0"/>
        <v/>
      </c>
    </row>
    <row r="24" spans="1:7" ht="12.75" customHeight="1" x14ac:dyDescent="0.2">
      <c r="A24" s="401" t="str">
        <f>'SC6'!A28</f>
        <v xml:space="preserve">Capricorn District </v>
      </c>
      <c r="B24" s="170"/>
      <c r="C24" s="755">
        <v>0</v>
      </c>
      <c r="D24" s="743">
        <v>0</v>
      </c>
      <c r="E24" s="743">
        <v>0</v>
      </c>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v>0</v>
      </c>
      <c r="D26" s="747">
        <v>0</v>
      </c>
      <c r="E26" s="747">
        <v>0</v>
      </c>
      <c r="F26" s="517">
        <f>C26-E26</f>
        <v>0</v>
      </c>
      <c r="G26" s="917" t="str">
        <f t="shared" si="0"/>
        <v/>
      </c>
    </row>
    <row r="27" spans="1:7" ht="12.75" customHeight="1" x14ac:dyDescent="0.2">
      <c r="A27" s="401" t="str">
        <f>'SC6'!A31</f>
        <v>[insert description]</v>
      </c>
      <c r="B27" s="170"/>
      <c r="C27" s="755">
        <v>0</v>
      </c>
      <c r="D27" s="743">
        <v>0</v>
      </c>
      <c r="E27" s="743">
        <v>0</v>
      </c>
      <c r="F27" s="45">
        <f>C27-E27</f>
        <v>0</v>
      </c>
      <c r="G27" s="277" t="str">
        <f t="shared" si="0"/>
        <v/>
      </c>
    </row>
    <row r="28" spans="1:7" ht="12.75" customHeight="1" x14ac:dyDescent="0.2">
      <c r="A28" s="567" t="s">
        <v>1115</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1116</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 xml:space="preserve"> Municipal Infrastructure Grant (MIG)</v>
      </c>
      <c r="B32" s="170"/>
      <c r="C32" s="790">
        <v>0</v>
      </c>
      <c r="D32" s="744">
        <v>0</v>
      </c>
      <c r="E32" s="744">
        <v>0</v>
      </c>
      <c r="F32" s="517">
        <f t="shared" ref="F32:F37" si="2">C32-E32</f>
        <v>0</v>
      </c>
      <c r="G32" s="917" t="str">
        <f t="shared" si="0"/>
        <v/>
      </c>
    </row>
    <row r="33" spans="1:7" ht="12.75" customHeight="1" x14ac:dyDescent="0.2">
      <c r="A33" s="399" t="str">
        <f>'SC6'!A47</f>
        <v>Integrated National Electrification Programme</v>
      </c>
      <c r="B33" s="170"/>
      <c r="C33" s="755">
        <v>0</v>
      </c>
      <c r="D33" s="743">
        <v>0</v>
      </c>
      <c r="E33" s="743">
        <v>0</v>
      </c>
      <c r="F33" s="45">
        <f t="shared" si="2"/>
        <v>0</v>
      </c>
      <c r="G33" s="277" t="str">
        <f t="shared" si="0"/>
        <v/>
      </c>
    </row>
    <row r="34" spans="1:7" ht="12.75" customHeight="1" x14ac:dyDescent="0.2">
      <c r="A34" s="399" t="str">
        <f>'SC6'!A48</f>
        <v xml:space="preserve">Intergrated Urban Development  Grant (IUDG) </v>
      </c>
      <c r="B34" s="170"/>
      <c r="C34" s="755">
        <v>0</v>
      </c>
      <c r="D34" s="743">
        <v>0</v>
      </c>
      <c r="E34" s="743">
        <v>0</v>
      </c>
      <c r="F34" s="45">
        <f t="shared" si="2"/>
        <v>0</v>
      </c>
      <c r="G34" s="277" t="str">
        <f t="shared" si="0"/>
        <v/>
      </c>
    </row>
    <row r="35" spans="1:7" ht="12.75" customHeight="1" x14ac:dyDescent="0.2">
      <c r="A35" s="399">
        <f>'SC6'!A49</f>
        <v>0</v>
      </c>
      <c r="B35" s="170"/>
      <c r="C35" s="755">
        <v>0</v>
      </c>
      <c r="D35" s="743">
        <v>0</v>
      </c>
      <c r="E35" s="743">
        <v>0</v>
      </c>
      <c r="F35" s="45">
        <f t="shared" si="2"/>
        <v>0</v>
      </c>
      <c r="G35" s="277" t="str">
        <f t="shared" si="0"/>
        <v/>
      </c>
    </row>
    <row r="36" spans="1:7" ht="12.75" customHeight="1" x14ac:dyDescent="0.2">
      <c r="A36" s="399">
        <f>'SC6'!A50</f>
        <v>0</v>
      </c>
      <c r="B36" s="170"/>
      <c r="C36" s="755">
        <v>0</v>
      </c>
      <c r="D36" s="743">
        <v>0</v>
      </c>
      <c r="E36" s="743">
        <v>0</v>
      </c>
      <c r="F36" s="45">
        <f t="shared" si="2"/>
        <v>0</v>
      </c>
      <c r="G36" s="277" t="str">
        <f t="shared" si="0"/>
        <v/>
      </c>
    </row>
    <row r="37" spans="1:7" ht="12.75" customHeight="1" x14ac:dyDescent="0.2">
      <c r="A37" s="399" t="str">
        <f>'SC6'!A51</f>
        <v>Other capital transfers [insert description]</v>
      </c>
      <c r="B37" s="170"/>
      <c r="C37" s="755">
        <v>0</v>
      </c>
      <c r="D37" s="743">
        <v>0</v>
      </c>
      <c r="E37" s="743">
        <v>0</v>
      </c>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v>0</v>
      </c>
      <c r="D39" s="747">
        <v>0</v>
      </c>
      <c r="E39" s="747">
        <v>0</v>
      </c>
      <c r="F39" s="517">
        <f>C39-E39</f>
        <v>0</v>
      </c>
      <c r="G39" s="917" t="str">
        <f t="shared" si="0"/>
        <v/>
      </c>
    </row>
    <row r="40" spans="1:7" ht="12.75" customHeight="1" x14ac:dyDescent="0.2">
      <c r="A40" s="399">
        <f>'SC6'!A58</f>
        <v>0</v>
      </c>
      <c r="B40" s="170"/>
      <c r="C40" s="755">
        <v>0</v>
      </c>
      <c r="D40" s="743">
        <v>0</v>
      </c>
      <c r="E40" s="743">
        <v>0</v>
      </c>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v>0</v>
      </c>
      <c r="D42" s="747">
        <v>0</v>
      </c>
      <c r="E42" s="747">
        <v>0</v>
      </c>
      <c r="F42" s="517">
        <f>C42-E42</f>
        <v>0</v>
      </c>
      <c r="G42" s="917" t="str">
        <f t="shared" si="0"/>
        <v/>
      </c>
    </row>
    <row r="43" spans="1:7" ht="12.75" customHeight="1" x14ac:dyDescent="0.2">
      <c r="A43" s="401">
        <f>'SC6'!A61</f>
        <v>0</v>
      </c>
      <c r="B43" s="170"/>
      <c r="C43" s="755">
        <v>0</v>
      </c>
      <c r="D43" s="743">
        <v>0</v>
      </c>
      <c r="E43" s="743">
        <v>0</v>
      </c>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v>0</v>
      </c>
      <c r="D45" s="747">
        <v>0</v>
      </c>
      <c r="E45" s="747">
        <v>0</v>
      </c>
      <c r="F45" s="517">
        <f>C45-E45</f>
        <v>0</v>
      </c>
      <c r="G45" s="917" t="str">
        <f t="shared" si="0"/>
        <v/>
      </c>
    </row>
    <row r="46" spans="1:7" ht="12.75" customHeight="1" x14ac:dyDescent="0.2">
      <c r="A46" s="401">
        <f>'SC6'!A68</f>
        <v>0</v>
      </c>
      <c r="B46" s="170"/>
      <c r="C46" s="755">
        <v>0</v>
      </c>
      <c r="D46" s="743">
        <v>0</v>
      </c>
      <c r="E46" s="743">
        <v>0</v>
      </c>
      <c r="F46" s="45">
        <f>C46-E46</f>
        <v>0</v>
      </c>
      <c r="G46" s="277" t="str">
        <f t="shared" si="0"/>
        <v/>
      </c>
    </row>
    <row r="47" spans="1:7" ht="12.75" customHeight="1" x14ac:dyDescent="0.2">
      <c r="A47" s="566" t="s">
        <v>1117</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1118</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115" zoomScaleNormal="115" workbookViewId="0">
      <pane xSplit="2" ySplit="4" topLeftCell="C5" activePane="bottomRight" state="frozen"/>
      <selection pane="topRight"/>
      <selection pane="bottomLeft"/>
      <selection pane="bottomRight" activeCell="K106" sqref="C7:K106"/>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"&amp;S71N&amp; " - "&amp;Head57</f>
        <v>LIM354 Polokwane - Supporting Table SC8 Monthly Budget Statement - councillor and staff benefits  - M05 November</v>
      </c>
      <c r="B1" s="1042"/>
      <c r="C1" s="1042"/>
      <c r="D1" s="1042"/>
      <c r="E1" s="1042"/>
      <c r="F1" s="1042"/>
      <c r="G1" s="1042"/>
      <c r="H1" s="1042"/>
      <c r="I1" s="1042"/>
      <c r="J1" s="1042"/>
      <c r="K1" s="1042"/>
    </row>
    <row r="2" spans="1:11" x14ac:dyDescent="0.2">
      <c r="A2" s="1031" t="s">
        <v>670</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568"/>
      <c r="B5" s="237">
        <v>1</v>
      </c>
      <c r="C5" s="569" t="s">
        <v>599</v>
      </c>
      <c r="D5" s="570" t="s">
        <v>554</v>
      </c>
      <c r="E5" s="571" t="s">
        <v>488</v>
      </c>
      <c r="F5" s="572"/>
      <c r="G5" s="572"/>
      <c r="H5" s="572"/>
      <c r="I5" s="572"/>
      <c r="J5" s="572"/>
      <c r="K5" s="573" t="s">
        <v>626</v>
      </c>
    </row>
    <row r="6" spans="1:11" ht="12.75" customHeight="1" x14ac:dyDescent="0.2">
      <c r="A6" s="575" t="s">
        <v>435</v>
      </c>
      <c r="B6" s="170"/>
      <c r="C6" s="41"/>
      <c r="D6" s="105"/>
      <c r="E6" s="104"/>
      <c r="F6" s="104"/>
      <c r="G6" s="104"/>
      <c r="H6" s="104"/>
      <c r="I6" s="104"/>
      <c r="J6" s="104"/>
      <c r="K6" s="267"/>
    </row>
    <row r="7" spans="1:11" ht="12.75" customHeight="1" x14ac:dyDescent="0.2">
      <c r="A7" s="521" t="s">
        <v>503</v>
      </c>
      <c r="B7" s="170"/>
      <c r="C7" s="758">
        <v>22015431.199999999</v>
      </c>
      <c r="D7" s="755">
        <v>23648000</v>
      </c>
      <c r="E7" s="743">
        <v>23648000</v>
      </c>
      <c r="F7" s="743">
        <v>1806059.46</v>
      </c>
      <c r="G7" s="743">
        <f>7330056.44+F7</f>
        <v>9136115.9000000004</v>
      </c>
      <c r="H7" s="743">
        <f t="shared" ref="H7:H13" si="0">E7/12*5</f>
        <v>9853333.333333334</v>
      </c>
      <c r="I7" s="45">
        <f t="shared" ref="I7:I14" si="1">G7-H7</f>
        <v>-717217.43333333358</v>
      </c>
      <c r="J7" s="333">
        <f t="shared" ref="J7:J14" si="2">IF(I7=0,"",I7/H7)</f>
        <v>-7.278932002706362E-2</v>
      </c>
      <c r="K7" s="745">
        <f>D7</f>
        <v>23648000</v>
      </c>
    </row>
    <row r="8" spans="1:11" ht="12.75" customHeight="1" x14ac:dyDescent="0.2">
      <c r="A8" s="521" t="s">
        <v>1066</v>
      </c>
      <c r="B8" s="170"/>
      <c r="C8" s="758">
        <v>3296043.9200000004</v>
      </c>
      <c r="D8" s="755">
        <v>3549000</v>
      </c>
      <c r="E8" s="743">
        <v>3549000</v>
      </c>
      <c r="F8" s="743">
        <v>270438.18</v>
      </c>
      <c r="G8" s="743">
        <f>1081695.98+F8</f>
        <v>1352134.16</v>
      </c>
      <c r="H8" s="743">
        <f t="shared" si="0"/>
        <v>1478750</v>
      </c>
      <c r="I8" s="45">
        <f t="shared" si="1"/>
        <v>-126615.84000000008</v>
      </c>
      <c r="J8" s="333">
        <f t="shared" si="2"/>
        <v>-8.56235604395605E-2</v>
      </c>
      <c r="K8" s="745">
        <f t="shared" ref="K8:K13" si="3">D8</f>
        <v>3549000</v>
      </c>
    </row>
    <row r="9" spans="1:11" ht="12.75" customHeight="1" x14ac:dyDescent="0.2">
      <c r="A9" s="521" t="s">
        <v>436</v>
      </c>
      <c r="B9" s="170"/>
      <c r="C9" s="758">
        <v>849833.04</v>
      </c>
      <c r="D9" s="755">
        <v>499000</v>
      </c>
      <c r="E9" s="743">
        <v>499000</v>
      </c>
      <c r="F9" s="743">
        <v>112073.34</v>
      </c>
      <c r="G9" s="743">
        <f>433300.02+F9</f>
        <v>545373.36</v>
      </c>
      <c r="H9" s="743">
        <f t="shared" si="0"/>
        <v>207916.66666666669</v>
      </c>
      <c r="I9" s="45">
        <f t="shared" si="1"/>
        <v>337456.6933333333</v>
      </c>
      <c r="J9" s="333">
        <f t="shared" si="2"/>
        <v>1.6230382044088174</v>
      </c>
      <c r="K9" s="745">
        <f t="shared" si="3"/>
        <v>499000</v>
      </c>
    </row>
    <row r="10" spans="1:11" ht="12.75" customHeight="1" x14ac:dyDescent="0.2">
      <c r="A10" s="521" t="s">
        <v>1067</v>
      </c>
      <c r="B10" s="170"/>
      <c r="C10" s="758">
        <v>7685845.1200000001</v>
      </c>
      <c r="D10" s="755">
        <v>8405000</v>
      </c>
      <c r="E10" s="743">
        <v>8405000</v>
      </c>
      <c r="F10" s="743">
        <v>649158.39</v>
      </c>
      <c r="G10" s="743">
        <f>2583358.94+F10</f>
        <v>3232517.33</v>
      </c>
      <c r="H10" s="743">
        <f t="shared" si="0"/>
        <v>3502083.333333333</v>
      </c>
      <c r="I10" s="45">
        <f>G10-H10</f>
        <v>-269566.00333333295</v>
      </c>
      <c r="J10" s="333">
        <f>IF(I10=0,"",I10/H10)</f>
        <v>-7.6973040809042131E-2</v>
      </c>
      <c r="K10" s="745">
        <f t="shared" si="3"/>
        <v>8405000</v>
      </c>
    </row>
    <row r="11" spans="1:11" ht="12.75" customHeight="1" x14ac:dyDescent="0.2">
      <c r="A11" s="40" t="s">
        <v>1068</v>
      </c>
      <c r="B11" s="170"/>
      <c r="C11" s="758">
        <v>3887641.6</v>
      </c>
      <c r="D11" s="755">
        <v>3673000</v>
      </c>
      <c r="E11" s="743">
        <v>3673000</v>
      </c>
      <c r="F11" s="743">
        <v>317505.59999999998</v>
      </c>
      <c r="G11" s="743">
        <f>1298800+F11</f>
        <v>1616305.6</v>
      </c>
      <c r="H11" s="743">
        <f t="shared" si="0"/>
        <v>1530416.6666666665</v>
      </c>
      <c r="I11" s="45">
        <f>G11-H11</f>
        <v>85888.933333333582</v>
      </c>
      <c r="J11" s="333">
        <f>IF(I11=0,"",I11/H11)</f>
        <v>5.6121274162809862E-2</v>
      </c>
      <c r="K11" s="745">
        <f t="shared" si="3"/>
        <v>3673000</v>
      </c>
    </row>
    <row r="12" spans="1:11" ht="12.75" customHeight="1" x14ac:dyDescent="0.2">
      <c r="A12" s="40" t="s">
        <v>1069</v>
      </c>
      <c r="B12" s="170"/>
      <c r="C12" s="758">
        <v>0</v>
      </c>
      <c r="D12" s="755">
        <v>0</v>
      </c>
      <c r="E12" s="743">
        <v>0</v>
      </c>
      <c r="F12" s="743"/>
      <c r="G12" s="743">
        <v>0</v>
      </c>
      <c r="H12" s="743">
        <f t="shared" si="0"/>
        <v>0</v>
      </c>
      <c r="I12" s="45">
        <f>G12-H12</f>
        <v>0</v>
      </c>
      <c r="J12" s="333" t="str">
        <f>IF(I12=0,"",I12/H12)</f>
        <v/>
      </c>
      <c r="K12" s="745">
        <f t="shared" si="3"/>
        <v>0</v>
      </c>
    </row>
    <row r="13" spans="1:11" ht="12.75" customHeight="1" x14ac:dyDescent="0.2">
      <c r="A13" s="40" t="s">
        <v>1070</v>
      </c>
      <c r="B13" s="170"/>
      <c r="C13" s="758">
        <v>625098.77</v>
      </c>
      <c r="D13" s="755">
        <v>326000</v>
      </c>
      <c r="E13" s="743">
        <v>326000</v>
      </c>
      <c r="F13" s="743">
        <v>51796.51</v>
      </c>
      <c r="G13" s="743">
        <f>181857.45+F13</f>
        <v>233653.96000000002</v>
      </c>
      <c r="H13" s="743">
        <f t="shared" si="0"/>
        <v>135833.33333333334</v>
      </c>
      <c r="I13" s="45">
        <f t="shared" si="1"/>
        <v>97820.626666666678</v>
      </c>
      <c r="J13" s="333">
        <f t="shared" si="2"/>
        <v>0.72015185276073623</v>
      </c>
      <c r="K13" s="745">
        <f t="shared" si="3"/>
        <v>326000</v>
      </c>
    </row>
    <row r="14" spans="1:11" ht="12.75" customHeight="1" x14ac:dyDescent="0.2">
      <c r="A14" s="88" t="s">
        <v>437</v>
      </c>
      <c r="B14" s="170"/>
      <c r="C14" s="519">
        <f t="shared" ref="C14:K14" si="4">SUM(C7:C13)</f>
        <v>38359893.650000006</v>
      </c>
      <c r="D14" s="478">
        <f t="shared" si="4"/>
        <v>40100000</v>
      </c>
      <c r="E14" s="433">
        <f t="shared" si="4"/>
        <v>40100000</v>
      </c>
      <c r="F14" s="433">
        <f t="shared" si="4"/>
        <v>3207031.48</v>
      </c>
      <c r="G14" s="433">
        <f t="shared" si="4"/>
        <v>16116100.310000001</v>
      </c>
      <c r="H14" s="433">
        <f t="shared" si="4"/>
        <v>16708333.333333332</v>
      </c>
      <c r="I14" s="433">
        <f t="shared" si="1"/>
        <v>-592233.02333333157</v>
      </c>
      <c r="J14" s="434">
        <f t="shared" si="2"/>
        <v>-3.5445367980049769E-2</v>
      </c>
      <c r="K14" s="516">
        <f t="shared" si="4"/>
        <v>40100000</v>
      </c>
    </row>
    <row r="15" spans="1:11" ht="12.75" customHeight="1" x14ac:dyDescent="0.2">
      <c r="A15" s="574" t="s">
        <v>744</v>
      </c>
      <c r="B15" s="170">
        <v>4</v>
      </c>
      <c r="C15" s="174"/>
      <c r="D15" s="306">
        <f>IF(D14=0,"",(D14/C14)-1)</f>
        <v>4.536264792277378E-2</v>
      </c>
      <c r="E15" s="306">
        <f>IF(E14=0,"",(E14/C14)-1)</f>
        <v>4.536264792277378E-2</v>
      </c>
      <c r="F15" s="306"/>
      <c r="G15" s="306"/>
      <c r="H15" s="306"/>
      <c r="I15" s="306"/>
      <c r="J15" s="347"/>
      <c r="K15" s="315">
        <f>IF(K14=0,"",(K14/C14)-1)</f>
        <v>4.536264792277378E-2</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525</v>
      </c>
      <c r="B17" s="170">
        <v>3</v>
      </c>
      <c r="C17" s="41"/>
      <c r="D17" s="105"/>
      <c r="E17" s="104"/>
      <c r="F17" s="104"/>
      <c r="G17" s="104"/>
      <c r="H17" s="104"/>
      <c r="I17" s="104"/>
      <c r="J17" s="333"/>
      <c r="K17" s="267"/>
    </row>
    <row r="18" spans="1:11" ht="12.75" customHeight="1" x14ac:dyDescent="0.2">
      <c r="A18" s="40" t="s">
        <v>503</v>
      </c>
      <c r="B18" s="170"/>
      <c r="C18" s="758">
        <v>9081444.1400000006</v>
      </c>
      <c r="D18" s="755">
        <v>16675220.530000001</v>
      </c>
      <c r="E18" s="743">
        <v>14678820.530000001</v>
      </c>
      <c r="F18" s="743">
        <v>680113.72</v>
      </c>
      <c r="G18" s="743">
        <f>2720454.88+F18</f>
        <v>3400568.5999999996</v>
      </c>
      <c r="H18" s="743">
        <f t="shared" ref="H18:H29" si="5">E18/12*5</f>
        <v>6116175.2208333332</v>
      </c>
      <c r="I18" s="45">
        <f t="shared" ref="I18:I30" si="6">G18-H18</f>
        <v>-2715606.6208333336</v>
      </c>
      <c r="J18" s="333">
        <f t="shared" ref="J18:J29" si="7">IF(I18=0,"",I18/H18)</f>
        <v>-0.44400405854679392</v>
      </c>
      <c r="K18" s="745">
        <v>14678820.530000001</v>
      </c>
    </row>
    <row r="19" spans="1:11" ht="12.75" customHeight="1" x14ac:dyDescent="0.2">
      <c r="A19" s="40" t="s">
        <v>1066</v>
      </c>
      <c r="B19" s="170"/>
      <c r="C19" s="758">
        <v>1299445.49</v>
      </c>
      <c r="D19" s="755">
        <v>1224118</v>
      </c>
      <c r="E19" s="743">
        <v>1224118</v>
      </c>
      <c r="F19" s="743">
        <v>94380.78</v>
      </c>
      <c r="G19" s="743">
        <f>377523.12+F19</f>
        <v>471903.9</v>
      </c>
      <c r="H19" s="743">
        <f t="shared" si="5"/>
        <v>510049.16666666663</v>
      </c>
      <c r="I19" s="45">
        <f t="shared" si="6"/>
        <v>-38145.266666666605</v>
      </c>
      <c r="J19" s="333">
        <f t="shared" si="7"/>
        <v>-7.4787430623518211E-2</v>
      </c>
      <c r="K19" s="745">
        <v>1224118</v>
      </c>
    </row>
    <row r="20" spans="1:11" ht="12.75" customHeight="1" x14ac:dyDescent="0.2">
      <c r="A20" s="40" t="s">
        <v>436</v>
      </c>
      <c r="B20" s="170"/>
      <c r="C20" s="758">
        <v>165275.08000000005</v>
      </c>
      <c r="D20" s="755">
        <v>115051.51</v>
      </c>
      <c r="E20" s="743">
        <v>115051.51</v>
      </c>
      <c r="F20" s="743">
        <v>8971.2000000000007</v>
      </c>
      <c r="G20" s="743">
        <f>35884.8+F20</f>
        <v>44856</v>
      </c>
      <c r="H20" s="743">
        <f t="shared" si="5"/>
        <v>47938.129166666666</v>
      </c>
      <c r="I20" s="45">
        <f t="shared" si="6"/>
        <v>-3082.1291666666657</v>
      </c>
      <c r="J20" s="333">
        <f t="shared" si="7"/>
        <v>-6.4293897576833181E-2</v>
      </c>
      <c r="K20" s="745">
        <v>115051.51</v>
      </c>
    </row>
    <row r="21" spans="1:11" ht="12.75" customHeight="1" x14ac:dyDescent="0.2">
      <c r="A21" s="40" t="s">
        <v>558</v>
      </c>
      <c r="B21" s="170"/>
      <c r="C21" s="758">
        <v>0</v>
      </c>
      <c r="D21" s="755">
        <v>0</v>
      </c>
      <c r="E21" s="743">
        <v>0</v>
      </c>
      <c r="F21" s="743"/>
      <c r="G21" s="743">
        <v>0</v>
      </c>
      <c r="H21" s="743">
        <f t="shared" si="5"/>
        <v>0</v>
      </c>
      <c r="I21" s="45">
        <f t="shared" si="6"/>
        <v>0</v>
      </c>
      <c r="J21" s="333" t="str">
        <f t="shared" si="7"/>
        <v/>
      </c>
      <c r="K21" s="745">
        <v>0</v>
      </c>
    </row>
    <row r="22" spans="1:11" ht="12.75" customHeight="1" x14ac:dyDescent="0.2">
      <c r="A22" s="40" t="s">
        <v>438</v>
      </c>
      <c r="B22" s="170"/>
      <c r="C22" s="758">
        <v>0</v>
      </c>
      <c r="D22" s="755">
        <v>0</v>
      </c>
      <c r="E22" s="743">
        <v>0</v>
      </c>
      <c r="F22" s="743"/>
      <c r="G22" s="743">
        <v>0</v>
      </c>
      <c r="H22" s="743">
        <f t="shared" si="5"/>
        <v>0</v>
      </c>
      <c r="I22" s="45">
        <f>G22-H22</f>
        <v>0</v>
      </c>
      <c r="J22" s="333" t="str">
        <f>IF(I22=0,"",I22/H22)</f>
        <v/>
      </c>
      <c r="K22" s="745">
        <v>0</v>
      </c>
    </row>
    <row r="23" spans="1:11" ht="12.75" customHeight="1" x14ac:dyDescent="0.2">
      <c r="A23" s="40" t="s">
        <v>1067</v>
      </c>
      <c r="B23" s="170"/>
      <c r="C23" s="758">
        <v>1921305.7900000003</v>
      </c>
      <c r="D23" s="755">
        <v>1862797.45</v>
      </c>
      <c r="E23" s="743">
        <v>1862797.45</v>
      </c>
      <c r="F23" s="743">
        <v>145727.57999999999</v>
      </c>
      <c r="G23" s="743">
        <f>582910.32+F23</f>
        <v>728637.89999999991</v>
      </c>
      <c r="H23" s="743">
        <f t="shared" si="5"/>
        <v>776165.60416666663</v>
      </c>
      <c r="I23" s="45">
        <f>G23-H23</f>
        <v>-47527.704166666721</v>
      </c>
      <c r="J23" s="333">
        <f>IF(I23=0,"",I23/H23)</f>
        <v>-6.1233973666863319E-2</v>
      </c>
      <c r="K23" s="745">
        <v>1862797.45</v>
      </c>
    </row>
    <row r="24" spans="1:11" ht="12.75" customHeight="1" x14ac:dyDescent="0.2">
      <c r="A24" s="40" t="s">
        <v>1068</v>
      </c>
      <c r="B24" s="170"/>
      <c r="C24" s="758">
        <v>0</v>
      </c>
      <c r="D24" s="755">
        <v>0</v>
      </c>
      <c r="E24" s="743">
        <v>0</v>
      </c>
      <c r="F24" s="743"/>
      <c r="G24" s="743">
        <v>0</v>
      </c>
      <c r="H24" s="743">
        <f t="shared" si="5"/>
        <v>0</v>
      </c>
      <c r="I24" s="45">
        <f>G24-H24</f>
        <v>0</v>
      </c>
      <c r="J24" s="333" t="str">
        <f>IF(I24=0,"",I24/H24)</f>
        <v/>
      </c>
      <c r="K24" s="745">
        <v>0</v>
      </c>
    </row>
    <row r="25" spans="1:11" ht="12.75" customHeight="1" x14ac:dyDescent="0.2">
      <c r="A25" s="40" t="s">
        <v>1069</v>
      </c>
      <c r="B25" s="170"/>
      <c r="C25" s="758">
        <v>1705480.9999999995</v>
      </c>
      <c r="D25" s="755">
        <v>0</v>
      </c>
      <c r="E25" s="743">
        <v>0</v>
      </c>
      <c r="F25" s="743">
        <v>155470.88</v>
      </c>
      <c r="G25" s="743">
        <v>155470.88</v>
      </c>
      <c r="H25" s="743">
        <f t="shared" si="5"/>
        <v>0</v>
      </c>
      <c r="I25" s="45">
        <f>G25-H25</f>
        <v>155470.88</v>
      </c>
      <c r="J25" s="333" t="e">
        <f>IF(I25=0,"",I25/H25)</f>
        <v>#DIV/0!</v>
      </c>
      <c r="K25" s="745">
        <v>0</v>
      </c>
    </row>
    <row r="26" spans="1:11" ht="12.75" customHeight="1" x14ac:dyDescent="0.2">
      <c r="A26" s="40" t="s">
        <v>1070</v>
      </c>
      <c r="B26" s="170"/>
      <c r="C26" s="758">
        <v>240142.53</v>
      </c>
      <c r="D26" s="755">
        <v>624814.55874999822</v>
      </c>
      <c r="E26" s="743">
        <v>624814.55874999822</v>
      </c>
      <c r="F26" s="743">
        <v>9151.64</v>
      </c>
      <c r="G26" s="743">
        <f>660356.99+F26</f>
        <v>669508.63</v>
      </c>
      <c r="H26" s="743">
        <f t="shared" si="5"/>
        <v>260339.39947916591</v>
      </c>
      <c r="I26" s="45">
        <f t="shared" si="6"/>
        <v>409169.2305208341</v>
      </c>
      <c r="J26" s="333">
        <f t="shared" si="7"/>
        <v>1.5716761709499854</v>
      </c>
      <c r="K26" s="745">
        <v>624814.55874999822</v>
      </c>
    </row>
    <row r="27" spans="1:11" ht="12.75" customHeight="1" x14ac:dyDescent="0.2">
      <c r="A27" s="40" t="s">
        <v>1071</v>
      </c>
      <c r="B27" s="170"/>
      <c r="C27" s="758">
        <v>35566</v>
      </c>
      <c r="D27" s="755"/>
      <c r="E27" s="743">
        <v>0</v>
      </c>
      <c r="F27" s="743"/>
      <c r="G27" s="743"/>
      <c r="H27" s="743">
        <f t="shared" si="5"/>
        <v>0</v>
      </c>
      <c r="I27" s="45">
        <f t="shared" si="6"/>
        <v>0</v>
      </c>
      <c r="J27" s="333" t="str">
        <f t="shared" si="7"/>
        <v/>
      </c>
      <c r="K27" s="745">
        <v>0</v>
      </c>
    </row>
    <row r="28" spans="1:11" ht="12.75" customHeight="1" x14ac:dyDescent="0.2">
      <c r="A28" s="40" t="s">
        <v>1072</v>
      </c>
      <c r="B28" s="170"/>
      <c r="C28" s="758">
        <v>0</v>
      </c>
      <c r="D28" s="755">
        <v>0</v>
      </c>
      <c r="E28" s="743">
        <v>0</v>
      </c>
      <c r="F28" s="743"/>
      <c r="G28" s="743">
        <v>0</v>
      </c>
      <c r="H28" s="743">
        <f t="shared" si="5"/>
        <v>0</v>
      </c>
      <c r="I28" s="45">
        <f t="shared" si="6"/>
        <v>0</v>
      </c>
      <c r="J28" s="333" t="str">
        <f t="shared" si="7"/>
        <v/>
      </c>
      <c r="K28" s="745">
        <f t="shared" ref="K28:K29" si="8">D28</f>
        <v>0</v>
      </c>
    </row>
    <row r="29" spans="1:11" ht="12.75" customHeight="1" x14ac:dyDescent="0.2">
      <c r="A29" s="40" t="s">
        <v>1073</v>
      </c>
      <c r="B29" s="170">
        <v>2</v>
      </c>
      <c r="C29" s="758">
        <v>339068.94999999995</v>
      </c>
      <c r="D29" s="755">
        <v>0</v>
      </c>
      <c r="E29" s="743">
        <v>0</v>
      </c>
      <c r="F29" s="743">
        <v>0</v>
      </c>
      <c r="G29" s="743">
        <v>0</v>
      </c>
      <c r="H29" s="743">
        <f t="shared" si="5"/>
        <v>0</v>
      </c>
      <c r="I29" s="45">
        <f t="shared" si="6"/>
        <v>0</v>
      </c>
      <c r="J29" s="333" t="str">
        <f t="shared" si="7"/>
        <v/>
      </c>
      <c r="K29" s="745">
        <f t="shared" si="8"/>
        <v>0</v>
      </c>
    </row>
    <row r="30" spans="1:11" ht="12.75" customHeight="1" x14ac:dyDescent="0.2">
      <c r="A30" s="88" t="s">
        <v>439</v>
      </c>
      <c r="B30" s="170"/>
      <c r="C30" s="519">
        <f t="shared" ref="C30:K30" si="9">SUM(C18:C29)</f>
        <v>14787728.98</v>
      </c>
      <c r="D30" s="478">
        <f t="shared" si="9"/>
        <v>20502002.048750002</v>
      </c>
      <c r="E30" s="433">
        <f t="shared" si="9"/>
        <v>18505602.048750002</v>
      </c>
      <c r="F30" s="433">
        <f>SUM(F18:F29)</f>
        <v>1093815.7999999998</v>
      </c>
      <c r="G30" s="433">
        <f>SUM(G18:G29)</f>
        <v>5470945.9099999992</v>
      </c>
      <c r="H30" s="433">
        <f>SUM(H18:H29)</f>
        <v>7710667.5203124993</v>
      </c>
      <c r="I30" s="433">
        <f t="shared" si="6"/>
        <v>-2239721.6103125</v>
      </c>
      <c r="J30" s="434">
        <f>IF(I30=0,"",I30/H30)</f>
        <v>-0.29047052079632768</v>
      </c>
      <c r="K30" s="516">
        <f t="shared" si="9"/>
        <v>18505602.048750002</v>
      </c>
    </row>
    <row r="31" spans="1:11" ht="12.75" customHeight="1" x14ac:dyDescent="0.2">
      <c r="A31" s="574" t="s">
        <v>744</v>
      </c>
      <c r="B31" s="170">
        <v>4</v>
      </c>
      <c r="C31" s="174"/>
      <c r="D31" s="306">
        <f>IF(D30=0,"",(D30/C30)-1)</f>
        <v>0.3864199213062669</v>
      </c>
      <c r="E31" s="306">
        <f>IF(E30=0,"",(E30/C30)-1)</f>
        <v>0.25141609464024683</v>
      </c>
      <c r="F31" s="306"/>
      <c r="G31" s="306"/>
      <c r="H31" s="306"/>
      <c r="I31" s="306"/>
      <c r="J31" s="347"/>
      <c r="K31" s="315">
        <f>IF(K30=0,"",(K30/C30)-1)</f>
        <v>0.25141609464024683</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440</v>
      </c>
      <c r="B33" s="170"/>
      <c r="C33" s="41"/>
      <c r="D33" s="105"/>
      <c r="E33" s="104"/>
      <c r="F33" s="104"/>
      <c r="G33" s="104"/>
      <c r="H33" s="104"/>
      <c r="I33" s="104"/>
      <c r="J33" s="333"/>
      <c r="K33" s="267"/>
    </row>
    <row r="34" spans="1:11" ht="12.75" customHeight="1" x14ac:dyDescent="0.2">
      <c r="A34" s="521" t="s">
        <v>503</v>
      </c>
      <c r="B34" s="170"/>
      <c r="C34" s="758">
        <v>435931664.56999999</v>
      </c>
      <c r="D34" s="755">
        <v>549934094.47000003</v>
      </c>
      <c r="E34" s="743">
        <v>549934094.47000003</v>
      </c>
      <c r="F34" s="743">
        <v>38398714.57</v>
      </c>
      <c r="G34" s="743">
        <f>156723102.78+F34</f>
        <v>195121817.34999999</v>
      </c>
      <c r="H34" s="743">
        <f t="shared" ref="H34:H45" si="10">E34/12*5</f>
        <v>229139206.0291667</v>
      </c>
      <c r="I34" s="45">
        <f t="shared" ref="I34:I46" si="11">G34-H34</f>
        <v>-34017388.679166704</v>
      </c>
      <c r="J34" s="333">
        <f t="shared" ref="J34:J45" si="12">IF(I34=0,"",I34/H34)</f>
        <v>-0.14845730361323106</v>
      </c>
      <c r="K34" s="745">
        <v>549934094.47000003</v>
      </c>
    </row>
    <row r="35" spans="1:11" ht="12.75" customHeight="1" x14ac:dyDescent="0.2">
      <c r="A35" s="521" t="s">
        <v>1066</v>
      </c>
      <c r="B35" s="170"/>
      <c r="C35" s="758">
        <v>90293160.780000016</v>
      </c>
      <c r="D35" s="755">
        <v>117333467</v>
      </c>
      <c r="E35" s="743">
        <v>117333467</v>
      </c>
      <c r="F35" s="743">
        <v>7938601.2400000002</v>
      </c>
      <c r="G35" s="743">
        <f>31851523.81+F35</f>
        <v>39790125.049999997</v>
      </c>
      <c r="H35" s="743">
        <f t="shared" si="10"/>
        <v>48888944.583333328</v>
      </c>
      <c r="I35" s="45">
        <f t="shared" si="11"/>
        <v>-9098819.5333333313</v>
      </c>
      <c r="J35" s="333">
        <f t="shared" si="12"/>
        <v>-0.18611200570762984</v>
      </c>
      <c r="K35" s="745">
        <v>117333467</v>
      </c>
    </row>
    <row r="36" spans="1:11" ht="12.75" customHeight="1" x14ac:dyDescent="0.2">
      <c r="A36" s="521" t="s">
        <v>436</v>
      </c>
      <c r="B36" s="170"/>
      <c r="C36" s="758">
        <v>31993546.749999996</v>
      </c>
      <c r="D36" s="755">
        <v>34197048.490000002</v>
      </c>
      <c r="E36" s="743">
        <v>34197048.490000002</v>
      </c>
      <c r="F36" s="743">
        <v>2807438.94</v>
      </c>
      <c r="G36" s="743">
        <f>11235831.21+F36</f>
        <v>14043270.15</v>
      </c>
      <c r="H36" s="743">
        <f t="shared" si="10"/>
        <v>14248770.204166668</v>
      </c>
      <c r="I36" s="45">
        <f t="shared" si="11"/>
        <v>-205500.05416666716</v>
      </c>
      <c r="J36" s="333">
        <f t="shared" si="12"/>
        <v>-1.4422301098418602E-2</v>
      </c>
      <c r="K36" s="745">
        <v>34197048.490000002</v>
      </c>
    </row>
    <row r="37" spans="1:11" ht="12.75" customHeight="1" x14ac:dyDescent="0.2">
      <c r="A37" s="521" t="s">
        <v>558</v>
      </c>
      <c r="B37" s="170"/>
      <c r="C37" s="758">
        <v>86359385.25</v>
      </c>
      <c r="D37" s="755">
        <v>41380000</v>
      </c>
      <c r="E37" s="743">
        <v>41380000</v>
      </c>
      <c r="F37" s="743">
        <v>6449017.79</v>
      </c>
      <c r="G37" s="743">
        <f>25935501.53+F37</f>
        <v>32384519.32</v>
      </c>
      <c r="H37" s="743">
        <f t="shared" si="10"/>
        <v>17241666.666666668</v>
      </c>
      <c r="I37" s="45">
        <f t="shared" si="11"/>
        <v>15142852.653333332</v>
      </c>
      <c r="J37" s="333">
        <f t="shared" si="12"/>
        <v>0.87827081604639912</v>
      </c>
      <c r="K37" s="745">
        <v>41380000</v>
      </c>
    </row>
    <row r="38" spans="1:11" ht="12.75" customHeight="1" x14ac:dyDescent="0.2">
      <c r="A38" s="521" t="s">
        <v>438</v>
      </c>
      <c r="B38" s="170"/>
      <c r="C38" s="758">
        <v>0</v>
      </c>
      <c r="D38" s="755">
        <v>0</v>
      </c>
      <c r="E38" s="743">
        <v>0</v>
      </c>
      <c r="F38" s="743"/>
      <c r="G38" s="743">
        <v>0</v>
      </c>
      <c r="H38" s="743">
        <f t="shared" si="10"/>
        <v>0</v>
      </c>
      <c r="I38" s="45">
        <f t="shared" si="11"/>
        <v>0</v>
      </c>
      <c r="J38" s="333" t="str">
        <f t="shared" si="12"/>
        <v/>
      </c>
      <c r="K38" s="745">
        <v>0</v>
      </c>
    </row>
    <row r="39" spans="1:11" ht="12.75" customHeight="1" x14ac:dyDescent="0.2">
      <c r="A39" s="521" t="s">
        <v>1067</v>
      </c>
      <c r="B39" s="170"/>
      <c r="C39" s="758">
        <v>48985477.559999995</v>
      </c>
      <c r="D39" s="755">
        <v>63952883.549999997</v>
      </c>
      <c r="E39" s="743">
        <v>63952883.549999997</v>
      </c>
      <c r="F39" s="743">
        <v>4335247.08</v>
      </c>
      <c r="G39" s="743">
        <f>17115592.9+F39</f>
        <v>21450839.979999997</v>
      </c>
      <c r="H39" s="743">
        <f t="shared" si="10"/>
        <v>26647034.812499996</v>
      </c>
      <c r="I39" s="45">
        <f>G39-H39</f>
        <v>-5196194.8324999996</v>
      </c>
      <c r="J39" s="333">
        <f>IF(I39=0,"",I39/H39)</f>
        <v>-0.1950008647889967</v>
      </c>
      <c r="K39" s="745">
        <v>63952883.549999997</v>
      </c>
    </row>
    <row r="40" spans="1:11" ht="12.75" customHeight="1" x14ac:dyDescent="0.2">
      <c r="A40" s="521" t="s">
        <v>1068</v>
      </c>
      <c r="B40" s="170"/>
      <c r="C40" s="758">
        <v>229200.22999999995</v>
      </c>
      <c r="D40" s="755">
        <v>299900</v>
      </c>
      <c r="E40" s="743">
        <v>299900</v>
      </c>
      <c r="F40" s="743">
        <v>9398.16</v>
      </c>
      <c r="G40" s="743">
        <f>41371.49+F40</f>
        <v>50769.649999999994</v>
      </c>
      <c r="H40" s="743">
        <f t="shared" si="10"/>
        <v>124958.33333333334</v>
      </c>
      <c r="I40" s="45">
        <f>G40-H40</f>
        <v>-74188.683333333349</v>
      </c>
      <c r="J40" s="333">
        <f>IF(I40=0,"",I40/H40)</f>
        <v>-0.59370736912304112</v>
      </c>
      <c r="K40" s="745">
        <v>299900</v>
      </c>
    </row>
    <row r="41" spans="1:11" ht="12.75" customHeight="1" x14ac:dyDescent="0.2">
      <c r="A41" s="521" t="s">
        <v>1069</v>
      </c>
      <c r="B41" s="170"/>
      <c r="C41" s="758">
        <v>6759917.4700000007</v>
      </c>
      <c r="D41" s="755">
        <v>10366500</v>
      </c>
      <c r="E41" s="743">
        <v>10366500</v>
      </c>
      <c r="F41" s="743">
        <v>620380.05000000005</v>
      </c>
      <c r="G41" s="743">
        <f>2268044.64+F41</f>
        <v>2888424.6900000004</v>
      </c>
      <c r="H41" s="743">
        <f t="shared" si="10"/>
        <v>4319375</v>
      </c>
      <c r="I41" s="45">
        <f>G41-H41</f>
        <v>-1430950.3099999996</v>
      </c>
      <c r="J41" s="333">
        <f>IF(I41=0,"",I41/H41)</f>
        <v>-0.33128642685573712</v>
      </c>
      <c r="K41" s="745">
        <v>10366500</v>
      </c>
    </row>
    <row r="42" spans="1:11" ht="12.75" customHeight="1" x14ac:dyDescent="0.2">
      <c r="A42" s="521" t="s">
        <v>1070</v>
      </c>
      <c r="B42" s="170"/>
      <c r="C42" s="758">
        <v>28163747.189999998</v>
      </c>
      <c r="D42" s="755">
        <v>61248504.441250004</v>
      </c>
      <c r="E42" s="743">
        <v>61248504.441250004</v>
      </c>
      <c r="F42" s="743">
        <v>2512665.83</v>
      </c>
      <c r="G42" s="743">
        <f>9367006.84+F42</f>
        <v>11879672.67</v>
      </c>
      <c r="H42" s="743">
        <f t="shared" si="10"/>
        <v>25520210.18385417</v>
      </c>
      <c r="I42" s="45">
        <f t="shared" si="11"/>
        <v>-13640537.51385417</v>
      </c>
      <c r="J42" s="333">
        <f t="shared" si="12"/>
        <v>-0.53449941891482178</v>
      </c>
      <c r="K42" s="745">
        <v>61248504.441250004</v>
      </c>
    </row>
    <row r="43" spans="1:11" ht="12.75" customHeight="1" x14ac:dyDescent="0.2">
      <c r="A43" s="521" t="s">
        <v>1071</v>
      </c>
      <c r="B43" s="170"/>
      <c r="C43" s="758">
        <v>15999898.889999999</v>
      </c>
      <c r="D43" s="755">
        <v>15015400</v>
      </c>
      <c r="E43" s="743">
        <v>15015400</v>
      </c>
      <c r="F43" s="743">
        <v>1457970.3900000001</v>
      </c>
      <c r="G43" s="743">
        <f>7132386.82+F43</f>
        <v>8590357.2100000009</v>
      </c>
      <c r="H43" s="743">
        <f t="shared" si="10"/>
        <v>6256416.666666666</v>
      </c>
      <c r="I43" s="45">
        <f t="shared" si="11"/>
        <v>2333940.5433333348</v>
      </c>
      <c r="J43" s="333">
        <f t="shared" si="12"/>
        <v>0.37304749150871802</v>
      </c>
      <c r="K43" s="745">
        <v>15015400</v>
      </c>
    </row>
    <row r="44" spans="1:11" ht="12.75" customHeight="1" x14ac:dyDescent="0.2">
      <c r="A44" s="521" t="s">
        <v>1072</v>
      </c>
      <c r="B44" s="170"/>
      <c r="C44" s="758">
        <v>1305354.3499999999</v>
      </c>
      <c r="D44" s="755">
        <v>6963200</v>
      </c>
      <c r="E44" s="743">
        <v>6963200</v>
      </c>
      <c r="F44" s="743">
        <v>98721.26</v>
      </c>
      <c r="G44" s="743">
        <v>315492.08</v>
      </c>
      <c r="H44" s="743">
        <f t="shared" si="10"/>
        <v>2901333.333333333</v>
      </c>
      <c r="I44" s="45">
        <f t="shared" si="11"/>
        <v>-2585841.2533333329</v>
      </c>
      <c r="J44" s="333">
        <f t="shared" si="12"/>
        <v>-0.89125962316176466</v>
      </c>
      <c r="K44" s="745">
        <v>6963200</v>
      </c>
    </row>
    <row r="45" spans="1:11" ht="12.75" customHeight="1" x14ac:dyDescent="0.2">
      <c r="A45" s="521" t="s">
        <v>1073</v>
      </c>
      <c r="B45" s="170">
        <v>2</v>
      </c>
      <c r="C45" s="758">
        <v>2942756.86</v>
      </c>
      <c r="D45" s="755">
        <v>0</v>
      </c>
      <c r="E45" s="743">
        <v>2566004</v>
      </c>
      <c r="F45" s="743">
        <v>202054.99</v>
      </c>
      <c r="G45" s="743">
        <f>1347672.46+F45</f>
        <v>1549727.45</v>
      </c>
      <c r="H45" s="743">
        <f t="shared" si="10"/>
        <v>1069168.3333333333</v>
      </c>
      <c r="I45" s="45">
        <f t="shared" si="11"/>
        <v>480559.1166666667</v>
      </c>
      <c r="J45" s="333">
        <f t="shared" si="12"/>
        <v>0.44947002420884774</v>
      </c>
      <c r="K45" s="745">
        <v>2566004</v>
      </c>
    </row>
    <row r="46" spans="1:11" ht="12.75" customHeight="1" x14ac:dyDescent="0.2">
      <c r="A46" s="88" t="s">
        <v>441</v>
      </c>
      <c r="B46" s="170"/>
      <c r="C46" s="519">
        <f t="shared" ref="C46:K46" si="13">SUM(C34:C45)</f>
        <v>748964109.89999998</v>
      </c>
      <c r="D46" s="478">
        <f t="shared" si="13"/>
        <v>900690997.95124996</v>
      </c>
      <c r="E46" s="433">
        <f t="shared" si="13"/>
        <v>903257001.95124996</v>
      </c>
      <c r="F46" s="433">
        <f>SUM(F34:F45)</f>
        <v>64830210.29999999</v>
      </c>
      <c r="G46" s="433">
        <f>SUM(G34:G45)</f>
        <v>328065015.59999996</v>
      </c>
      <c r="H46" s="433">
        <f>SUM(H34:H45)</f>
        <v>376357084.14635414</v>
      </c>
      <c r="I46" s="433">
        <f t="shared" si="11"/>
        <v>-48292068.546354175</v>
      </c>
      <c r="J46" s="434">
        <f>IF(I46=0,"",I46/H46)</f>
        <v>-0.12831449328472005</v>
      </c>
      <c r="K46" s="516">
        <f t="shared" si="13"/>
        <v>903257001.95124996</v>
      </c>
    </row>
    <row r="47" spans="1:11" ht="12.75" customHeight="1" x14ac:dyDescent="0.2">
      <c r="A47" s="574" t="s">
        <v>744</v>
      </c>
      <c r="B47" s="170">
        <v>4</v>
      </c>
      <c r="C47" s="402"/>
      <c r="D47" s="306">
        <f>IF(D46=0,"",(D46/C46)-1)</f>
        <v>0.20258232142993893</v>
      </c>
      <c r="E47" s="306">
        <f>IF(E46=0,"",(E46/C46)-1)</f>
        <v>0.20600839214024669</v>
      </c>
      <c r="F47" s="306"/>
      <c r="G47" s="306"/>
      <c r="H47" s="306"/>
      <c r="I47" s="404"/>
      <c r="J47" s="406"/>
      <c r="K47" s="315">
        <f>IF(K46=0,"",(K46/C46)-1)</f>
        <v>0.20600839214024669</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460</v>
      </c>
      <c r="B49" s="234"/>
      <c r="C49" s="244">
        <f>C14+C30+C46</f>
        <v>802111732.52999997</v>
      </c>
      <c r="D49" s="75">
        <f t="shared" ref="D49:K49" si="14">D14+D30+D46</f>
        <v>961293000</v>
      </c>
      <c r="E49" s="74">
        <f t="shared" si="14"/>
        <v>961862604</v>
      </c>
      <c r="F49" s="74">
        <f t="shared" si="14"/>
        <v>69131057.579999983</v>
      </c>
      <c r="G49" s="74">
        <f t="shared" si="14"/>
        <v>349652061.81999993</v>
      </c>
      <c r="H49" s="74">
        <f t="shared" si="14"/>
        <v>400776085</v>
      </c>
      <c r="I49" s="74">
        <f>G49-H49</f>
        <v>-51124023.180000067</v>
      </c>
      <c r="J49" s="334">
        <f>IF(I49=0,"",I49/H49)</f>
        <v>-0.12756255947756978</v>
      </c>
      <c r="K49" s="146">
        <f t="shared" si="14"/>
        <v>961862604</v>
      </c>
    </row>
    <row r="50" spans="1:11" ht="5.0999999999999996" customHeight="1" x14ac:dyDescent="0.2">
      <c r="A50" s="43"/>
      <c r="B50" s="170"/>
      <c r="C50" s="174"/>
      <c r="D50" s="306">
        <f>IF(D49=0,"",(D49/C49)-1)</f>
        <v>0.19845273546606101</v>
      </c>
      <c r="E50" s="306">
        <f>IF(E49=0,"",(E49/C49)-1)</f>
        <v>0.19916286595898303</v>
      </c>
      <c r="F50" s="306"/>
      <c r="G50" s="306"/>
      <c r="H50" s="306"/>
      <c r="I50" s="306"/>
      <c r="J50" s="347"/>
      <c r="K50" s="315">
        <f>IF(K49=0,"",(K49/C49)-1)</f>
        <v>0.19916286595898303</v>
      </c>
    </row>
    <row r="51" spans="1:11" ht="12.75" customHeight="1" x14ac:dyDescent="0.2">
      <c r="A51" s="353" t="s">
        <v>910</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575</v>
      </c>
      <c r="B53" s="170"/>
      <c r="C53" s="41"/>
      <c r="D53" s="105"/>
      <c r="E53" s="104"/>
      <c r="F53" s="104"/>
      <c r="G53" s="104"/>
      <c r="H53" s="104"/>
      <c r="I53" s="104"/>
      <c r="J53" s="333"/>
      <c r="K53" s="267"/>
    </row>
    <row r="54" spans="1:11" ht="12.75" customHeight="1" x14ac:dyDescent="0.2">
      <c r="A54" s="40" t="s">
        <v>503</v>
      </c>
      <c r="B54" s="170"/>
      <c r="C54" s="758">
        <v>1793148.8</v>
      </c>
      <c r="D54" s="755">
        <v>0</v>
      </c>
      <c r="E54" s="743">
        <v>0</v>
      </c>
      <c r="F54" s="743">
        <v>0</v>
      </c>
      <c r="G54" s="743">
        <v>0</v>
      </c>
      <c r="H54" s="743">
        <f t="shared" ref="H54:H66" si="15">E54/12*5</f>
        <v>0</v>
      </c>
      <c r="I54" s="45">
        <f t="shared" ref="I54:I67" si="16">G54-H54</f>
        <v>0</v>
      </c>
      <c r="J54" s="333" t="str">
        <f t="shared" ref="J54:J66" si="17">IF(I54=0,"",I54/H54)</f>
        <v/>
      </c>
      <c r="K54" s="745">
        <f>D54</f>
        <v>0</v>
      </c>
    </row>
    <row r="55" spans="1:11" ht="12.75" customHeight="1" x14ac:dyDescent="0.2">
      <c r="A55" s="40" t="s">
        <v>1066</v>
      </c>
      <c r="B55" s="170"/>
      <c r="C55" s="758">
        <v>328487.86000000004</v>
      </c>
      <c r="D55" s="755">
        <v>0</v>
      </c>
      <c r="E55" s="743">
        <v>0</v>
      </c>
      <c r="F55" s="743">
        <v>0</v>
      </c>
      <c r="G55" s="743">
        <v>0</v>
      </c>
      <c r="H55" s="743">
        <f t="shared" si="15"/>
        <v>0</v>
      </c>
      <c r="I55" s="45">
        <f t="shared" si="16"/>
        <v>0</v>
      </c>
      <c r="J55" s="333" t="str">
        <f t="shared" si="17"/>
        <v/>
      </c>
      <c r="K55" s="745">
        <f t="shared" ref="K55:K66" si="18">D55</f>
        <v>0</v>
      </c>
    </row>
    <row r="56" spans="1:11" ht="12.75" customHeight="1" x14ac:dyDescent="0.2">
      <c r="A56" s="40" t="s">
        <v>436</v>
      </c>
      <c r="B56" s="170"/>
      <c r="C56" s="758">
        <v>0</v>
      </c>
      <c r="D56" s="755">
        <v>0</v>
      </c>
      <c r="E56" s="743">
        <v>0</v>
      </c>
      <c r="F56" s="743">
        <v>0</v>
      </c>
      <c r="G56" s="743">
        <v>0</v>
      </c>
      <c r="H56" s="973">
        <f t="shared" si="15"/>
        <v>0</v>
      </c>
      <c r="I56" s="45">
        <f t="shared" si="16"/>
        <v>0</v>
      </c>
      <c r="J56" s="333" t="str">
        <f t="shared" si="17"/>
        <v/>
      </c>
      <c r="K56" s="745">
        <f t="shared" si="18"/>
        <v>0</v>
      </c>
    </row>
    <row r="57" spans="1:11" ht="12.75" customHeight="1" x14ac:dyDescent="0.2">
      <c r="A57" s="40" t="s">
        <v>558</v>
      </c>
      <c r="B57" s="170"/>
      <c r="C57" s="758">
        <v>0</v>
      </c>
      <c r="D57" s="755">
        <v>0</v>
      </c>
      <c r="E57" s="743">
        <v>0</v>
      </c>
      <c r="F57" s="743">
        <v>0</v>
      </c>
      <c r="G57" s="743">
        <v>0</v>
      </c>
      <c r="H57" s="973">
        <f t="shared" si="15"/>
        <v>0</v>
      </c>
      <c r="I57" s="45">
        <f>G57-H57</f>
        <v>0</v>
      </c>
      <c r="J57" s="333" t="str">
        <f>IF(I57=0,"",I57/H57)</f>
        <v/>
      </c>
      <c r="K57" s="745">
        <f t="shared" si="18"/>
        <v>0</v>
      </c>
    </row>
    <row r="58" spans="1:11" ht="12.75" customHeight="1" x14ac:dyDescent="0.2">
      <c r="A58" s="40" t="s">
        <v>438</v>
      </c>
      <c r="B58" s="170"/>
      <c r="C58" s="758">
        <v>0</v>
      </c>
      <c r="D58" s="755">
        <v>0</v>
      </c>
      <c r="E58" s="743">
        <v>0</v>
      </c>
      <c r="F58" s="743">
        <v>0</v>
      </c>
      <c r="G58" s="743">
        <v>0</v>
      </c>
      <c r="H58" s="973">
        <f t="shared" si="15"/>
        <v>0</v>
      </c>
      <c r="I58" s="45">
        <f>G58-H58</f>
        <v>0</v>
      </c>
      <c r="J58" s="333" t="str">
        <f>IF(I58=0,"",I58/H58)</f>
        <v/>
      </c>
      <c r="K58" s="745">
        <f t="shared" si="18"/>
        <v>0</v>
      </c>
    </row>
    <row r="59" spans="1:11" ht="12.75" customHeight="1" x14ac:dyDescent="0.2">
      <c r="A59" s="40" t="s">
        <v>1067</v>
      </c>
      <c r="B59" s="170"/>
      <c r="C59" s="758">
        <v>0</v>
      </c>
      <c r="D59" s="755">
        <v>0</v>
      </c>
      <c r="E59" s="743">
        <v>0</v>
      </c>
      <c r="F59" s="743">
        <v>0</v>
      </c>
      <c r="G59" s="743">
        <v>0</v>
      </c>
      <c r="H59" s="973">
        <f t="shared" si="15"/>
        <v>0</v>
      </c>
      <c r="I59" s="45">
        <f>G59-H59</f>
        <v>0</v>
      </c>
      <c r="J59" s="333" t="str">
        <f>IF(I59=0,"",I59/H59)</f>
        <v/>
      </c>
      <c r="K59" s="745">
        <f t="shared" si="18"/>
        <v>0</v>
      </c>
    </row>
    <row r="60" spans="1:11" ht="12.75" customHeight="1" x14ac:dyDescent="0.2">
      <c r="A60" s="40" t="s">
        <v>1068</v>
      </c>
      <c r="B60" s="170"/>
      <c r="C60" s="758">
        <v>0</v>
      </c>
      <c r="D60" s="755">
        <v>0</v>
      </c>
      <c r="E60" s="743">
        <v>0</v>
      </c>
      <c r="F60" s="743">
        <v>0</v>
      </c>
      <c r="G60" s="743">
        <v>0</v>
      </c>
      <c r="H60" s="973">
        <f t="shared" si="15"/>
        <v>0</v>
      </c>
      <c r="I60" s="45">
        <f>G60-H60</f>
        <v>0</v>
      </c>
      <c r="J60" s="333" t="str">
        <f>IF(I60=0,"",I60/H60)</f>
        <v/>
      </c>
      <c r="K60" s="745">
        <f t="shared" si="18"/>
        <v>0</v>
      </c>
    </row>
    <row r="61" spans="1:11" ht="12.75" customHeight="1" x14ac:dyDescent="0.2">
      <c r="A61" s="40" t="s">
        <v>1069</v>
      </c>
      <c r="B61" s="170"/>
      <c r="C61" s="758">
        <v>0</v>
      </c>
      <c r="D61" s="755">
        <v>0</v>
      </c>
      <c r="E61" s="743">
        <v>0</v>
      </c>
      <c r="F61" s="743">
        <v>0</v>
      </c>
      <c r="G61" s="743">
        <v>0</v>
      </c>
      <c r="H61" s="973">
        <f t="shared" si="15"/>
        <v>0</v>
      </c>
      <c r="I61" s="45">
        <f>G61-H61</f>
        <v>0</v>
      </c>
      <c r="J61" s="333" t="str">
        <f>IF(I61=0,"",I61/H61)</f>
        <v/>
      </c>
      <c r="K61" s="745">
        <f t="shared" si="18"/>
        <v>0</v>
      </c>
    </row>
    <row r="62" spans="1:11" ht="12.75" customHeight="1" x14ac:dyDescent="0.2">
      <c r="A62" s="40" t="s">
        <v>1070</v>
      </c>
      <c r="B62" s="170"/>
      <c r="C62" s="758">
        <v>0</v>
      </c>
      <c r="D62" s="755">
        <v>0</v>
      </c>
      <c r="E62" s="743">
        <v>0</v>
      </c>
      <c r="F62" s="743">
        <v>0</v>
      </c>
      <c r="G62" s="743">
        <v>0</v>
      </c>
      <c r="H62" s="973">
        <f t="shared" si="15"/>
        <v>0</v>
      </c>
      <c r="I62" s="45">
        <f t="shared" si="16"/>
        <v>0</v>
      </c>
      <c r="J62" s="333" t="str">
        <f t="shared" si="17"/>
        <v/>
      </c>
      <c r="K62" s="745">
        <f t="shared" si="18"/>
        <v>0</v>
      </c>
    </row>
    <row r="63" spans="1:11" ht="12.75" customHeight="1" x14ac:dyDescent="0.2">
      <c r="A63" s="40" t="s">
        <v>576</v>
      </c>
      <c r="B63" s="170"/>
      <c r="C63" s="758">
        <v>0</v>
      </c>
      <c r="D63" s="755">
        <v>0</v>
      </c>
      <c r="E63" s="743">
        <v>0</v>
      </c>
      <c r="F63" s="743">
        <v>0</v>
      </c>
      <c r="G63" s="743">
        <v>0</v>
      </c>
      <c r="H63" s="973">
        <f t="shared" si="15"/>
        <v>0</v>
      </c>
      <c r="I63" s="45">
        <f>G63-H63</f>
        <v>0</v>
      </c>
      <c r="J63" s="333" t="str">
        <f>IF(I63=0,"",I63/H63)</f>
        <v/>
      </c>
      <c r="K63" s="745">
        <f t="shared" si="18"/>
        <v>0</v>
      </c>
    </row>
    <row r="64" spans="1:11" ht="12.75" customHeight="1" x14ac:dyDescent="0.2">
      <c r="A64" s="40" t="s">
        <v>1071</v>
      </c>
      <c r="B64" s="170"/>
      <c r="C64" s="758">
        <v>0</v>
      </c>
      <c r="D64" s="755">
        <v>0</v>
      </c>
      <c r="E64" s="743">
        <v>0</v>
      </c>
      <c r="F64" s="743">
        <v>0</v>
      </c>
      <c r="G64" s="743">
        <v>0</v>
      </c>
      <c r="H64" s="973">
        <f t="shared" si="15"/>
        <v>0</v>
      </c>
      <c r="I64" s="45">
        <f t="shared" si="16"/>
        <v>0</v>
      </c>
      <c r="J64" s="333" t="str">
        <f t="shared" si="17"/>
        <v/>
      </c>
      <c r="K64" s="745">
        <f t="shared" si="18"/>
        <v>0</v>
      </c>
    </row>
    <row r="65" spans="1:11" ht="12.75" customHeight="1" x14ac:dyDescent="0.2">
      <c r="A65" s="40" t="s">
        <v>1072</v>
      </c>
      <c r="B65" s="170"/>
      <c r="C65" s="758">
        <v>0</v>
      </c>
      <c r="D65" s="755">
        <v>0</v>
      </c>
      <c r="E65" s="743">
        <v>0</v>
      </c>
      <c r="F65" s="743">
        <v>0</v>
      </c>
      <c r="G65" s="743">
        <v>0</v>
      </c>
      <c r="H65" s="973">
        <f t="shared" si="15"/>
        <v>0</v>
      </c>
      <c r="I65" s="45">
        <f t="shared" si="16"/>
        <v>0</v>
      </c>
      <c r="J65" s="333" t="str">
        <f t="shared" si="17"/>
        <v/>
      </c>
      <c r="K65" s="745">
        <f t="shared" si="18"/>
        <v>0</v>
      </c>
    </row>
    <row r="66" spans="1:11" ht="12.75" customHeight="1" x14ac:dyDescent="0.2">
      <c r="A66" s="40" t="s">
        <v>1073</v>
      </c>
      <c r="B66" s="170"/>
      <c r="C66" s="758">
        <v>0</v>
      </c>
      <c r="D66" s="755">
        <v>0</v>
      </c>
      <c r="E66" s="743">
        <v>0</v>
      </c>
      <c r="F66" s="743">
        <v>0</v>
      </c>
      <c r="G66" s="743">
        <v>0</v>
      </c>
      <c r="H66" s="973">
        <f t="shared" si="15"/>
        <v>0</v>
      </c>
      <c r="I66" s="45">
        <f t="shared" si="16"/>
        <v>0</v>
      </c>
      <c r="J66" s="333" t="str">
        <f t="shared" si="17"/>
        <v/>
      </c>
      <c r="K66" s="745">
        <f t="shared" si="18"/>
        <v>0</v>
      </c>
    </row>
    <row r="67" spans="1:11" ht="12.75" customHeight="1" x14ac:dyDescent="0.2">
      <c r="A67" s="88" t="s">
        <v>792</v>
      </c>
      <c r="B67" s="170">
        <v>2</v>
      </c>
      <c r="C67" s="519">
        <f t="shared" ref="C67:K67" si="19">SUM(C54:C66)</f>
        <v>2121636.66</v>
      </c>
      <c r="D67" s="478">
        <f t="shared" si="19"/>
        <v>0</v>
      </c>
      <c r="E67" s="433">
        <f t="shared" si="19"/>
        <v>0</v>
      </c>
      <c r="F67" s="433">
        <f>SUM(F54:F66)</f>
        <v>0</v>
      </c>
      <c r="G67" s="433">
        <f>SUM(G54:G66)</f>
        <v>0</v>
      </c>
      <c r="H67" s="433">
        <f>SUM(H54:H66)</f>
        <v>0</v>
      </c>
      <c r="I67" s="433">
        <f t="shared" si="16"/>
        <v>0</v>
      </c>
      <c r="J67" s="434" t="str">
        <f>IF(I67=0,"",I67/H67)</f>
        <v/>
      </c>
      <c r="K67" s="516">
        <f t="shared" si="19"/>
        <v>0</v>
      </c>
    </row>
    <row r="68" spans="1:11" ht="12.75" customHeight="1" x14ac:dyDescent="0.2">
      <c r="A68" s="574" t="s">
        <v>744</v>
      </c>
      <c r="B68" s="170">
        <v>4</v>
      </c>
      <c r="C68" s="174"/>
      <c r="D68" s="306" t="str">
        <f>IF(D67=0,"",(D67/C67)-1)</f>
        <v/>
      </c>
      <c r="E68" s="306" t="str">
        <f>IF(E67=0,"",(E67/C67)-1)</f>
        <v/>
      </c>
      <c r="F68" s="306"/>
      <c r="G68" s="306"/>
      <c r="H68" s="306"/>
      <c r="I68" s="306"/>
      <c r="J68" s="347"/>
      <c r="K68" s="315" t="str">
        <f>IF(K67=0,"",(K67/C67)-1)</f>
        <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852</v>
      </c>
      <c r="B70" s="170"/>
      <c r="C70" s="41"/>
      <c r="D70" s="105"/>
      <c r="E70" s="104"/>
      <c r="F70" s="104"/>
      <c r="G70" s="104"/>
      <c r="H70" s="104"/>
      <c r="I70" s="104"/>
      <c r="J70" s="333"/>
      <c r="K70" s="267"/>
    </row>
    <row r="71" spans="1:11" ht="12.75" customHeight="1" x14ac:dyDescent="0.2">
      <c r="A71" s="521" t="s">
        <v>503</v>
      </c>
      <c r="B71" s="170"/>
      <c r="C71" s="758">
        <v>1195432.5333333334</v>
      </c>
      <c r="D71" s="755">
        <v>0</v>
      </c>
      <c r="E71" s="743">
        <v>0</v>
      </c>
      <c r="F71" s="743">
        <v>0</v>
      </c>
      <c r="G71" s="743">
        <v>0</v>
      </c>
      <c r="H71" s="743">
        <v>0</v>
      </c>
      <c r="I71" s="45">
        <f t="shared" ref="I71:I83" si="20">G71-H71</f>
        <v>0</v>
      </c>
      <c r="J71" s="333" t="str">
        <f t="shared" ref="J71:J82" si="21">IF(I71=0,"",I71/H71)</f>
        <v/>
      </c>
      <c r="K71" s="745">
        <f>D71</f>
        <v>0</v>
      </c>
    </row>
    <row r="72" spans="1:11" ht="12.75" customHeight="1" x14ac:dyDescent="0.2">
      <c r="A72" s="521" t="s">
        <v>1066</v>
      </c>
      <c r="B72" s="170"/>
      <c r="C72" s="758">
        <v>0</v>
      </c>
      <c r="D72" s="755">
        <v>0</v>
      </c>
      <c r="E72" s="743">
        <v>0</v>
      </c>
      <c r="F72" s="743">
        <v>0</v>
      </c>
      <c r="G72" s="743">
        <v>0</v>
      </c>
      <c r="H72" s="743">
        <f t="shared" ref="H72:H77" si="22">E72/12*11</f>
        <v>0</v>
      </c>
      <c r="I72" s="45">
        <f t="shared" si="20"/>
        <v>0</v>
      </c>
      <c r="J72" s="333" t="str">
        <f t="shared" si="21"/>
        <v/>
      </c>
      <c r="K72" s="745">
        <f t="shared" ref="K72:K82" si="23">D72</f>
        <v>0</v>
      </c>
    </row>
    <row r="73" spans="1:11" ht="12.75" customHeight="1" x14ac:dyDescent="0.2">
      <c r="A73" s="521" t="s">
        <v>436</v>
      </c>
      <c r="B73" s="170"/>
      <c r="C73" s="758">
        <v>0</v>
      </c>
      <c r="D73" s="755">
        <v>0</v>
      </c>
      <c r="E73" s="743">
        <v>0</v>
      </c>
      <c r="F73" s="743">
        <v>0</v>
      </c>
      <c r="G73" s="743">
        <v>0</v>
      </c>
      <c r="H73" s="973">
        <f t="shared" si="22"/>
        <v>0</v>
      </c>
      <c r="I73" s="45">
        <f t="shared" si="20"/>
        <v>0</v>
      </c>
      <c r="J73" s="333" t="str">
        <f t="shared" si="21"/>
        <v/>
      </c>
      <c r="K73" s="745">
        <f t="shared" si="23"/>
        <v>0</v>
      </c>
    </row>
    <row r="74" spans="1:11" ht="12.75" customHeight="1" x14ac:dyDescent="0.2">
      <c r="A74" s="521" t="s">
        <v>558</v>
      </c>
      <c r="B74" s="170"/>
      <c r="C74" s="758">
        <v>0</v>
      </c>
      <c r="D74" s="755">
        <v>0</v>
      </c>
      <c r="E74" s="743">
        <v>0</v>
      </c>
      <c r="F74" s="743">
        <v>0</v>
      </c>
      <c r="G74" s="743">
        <v>0</v>
      </c>
      <c r="H74" s="973">
        <f t="shared" si="22"/>
        <v>0</v>
      </c>
      <c r="I74" s="45">
        <f t="shared" si="20"/>
        <v>0</v>
      </c>
      <c r="J74" s="333" t="str">
        <f t="shared" si="21"/>
        <v/>
      </c>
      <c r="K74" s="745">
        <f t="shared" si="23"/>
        <v>0</v>
      </c>
    </row>
    <row r="75" spans="1:11" ht="12.75" customHeight="1" x14ac:dyDescent="0.2">
      <c r="A75" s="521" t="s">
        <v>438</v>
      </c>
      <c r="B75" s="170"/>
      <c r="C75" s="758">
        <v>0</v>
      </c>
      <c r="D75" s="755">
        <v>0</v>
      </c>
      <c r="E75" s="743">
        <v>0</v>
      </c>
      <c r="F75" s="743">
        <v>0</v>
      </c>
      <c r="G75" s="743">
        <v>0</v>
      </c>
      <c r="H75" s="973">
        <f t="shared" si="22"/>
        <v>0</v>
      </c>
      <c r="I75" s="45">
        <f>G75-H75</f>
        <v>0</v>
      </c>
      <c r="J75" s="333" t="str">
        <f>IF(I75=0,"",I75/H75)</f>
        <v/>
      </c>
      <c r="K75" s="745">
        <f t="shared" si="23"/>
        <v>0</v>
      </c>
    </row>
    <row r="76" spans="1:11" ht="12.75" customHeight="1" x14ac:dyDescent="0.2">
      <c r="A76" s="521" t="s">
        <v>1067</v>
      </c>
      <c r="B76" s="170"/>
      <c r="C76" s="758">
        <v>0</v>
      </c>
      <c r="D76" s="755">
        <v>0</v>
      </c>
      <c r="E76" s="743">
        <v>0</v>
      </c>
      <c r="F76" s="743">
        <v>0</v>
      </c>
      <c r="G76" s="743">
        <v>0</v>
      </c>
      <c r="H76" s="973">
        <f t="shared" si="22"/>
        <v>0</v>
      </c>
      <c r="I76" s="45">
        <f>G76-H76</f>
        <v>0</v>
      </c>
      <c r="J76" s="333" t="str">
        <f>IF(I76=0,"",I76/H76)</f>
        <v/>
      </c>
      <c r="K76" s="745">
        <f t="shared" si="23"/>
        <v>0</v>
      </c>
    </row>
    <row r="77" spans="1:11" ht="12.75" customHeight="1" x14ac:dyDescent="0.2">
      <c r="A77" s="521" t="s">
        <v>1068</v>
      </c>
      <c r="B77" s="170"/>
      <c r="C77" s="758">
        <v>0</v>
      </c>
      <c r="D77" s="755">
        <v>0</v>
      </c>
      <c r="E77" s="743">
        <v>0</v>
      </c>
      <c r="F77" s="743">
        <v>0</v>
      </c>
      <c r="G77" s="743">
        <v>0</v>
      </c>
      <c r="H77" s="973">
        <f t="shared" si="22"/>
        <v>0</v>
      </c>
      <c r="I77" s="45">
        <f>G77-H77</f>
        <v>0</v>
      </c>
      <c r="J77" s="333" t="str">
        <f>IF(I77=0,"",I77/H77)</f>
        <v/>
      </c>
      <c r="K77" s="745">
        <f t="shared" si="23"/>
        <v>0</v>
      </c>
    </row>
    <row r="78" spans="1:11" ht="12.75" customHeight="1" x14ac:dyDescent="0.2">
      <c r="A78" s="521" t="s">
        <v>1069</v>
      </c>
      <c r="B78" s="170"/>
      <c r="C78" s="758">
        <v>0</v>
      </c>
      <c r="D78" s="755">
        <v>0</v>
      </c>
      <c r="E78" s="743">
        <v>0</v>
      </c>
      <c r="F78" s="743">
        <v>0</v>
      </c>
      <c r="G78" s="743">
        <v>0</v>
      </c>
      <c r="H78" s="973">
        <f t="shared" ref="H78:H82" si="24">E78/12*10</f>
        <v>0</v>
      </c>
      <c r="I78" s="45">
        <f>G78-H78</f>
        <v>0</v>
      </c>
      <c r="J78" s="333" t="str">
        <f>IF(I78=0,"",I78/H78)</f>
        <v/>
      </c>
      <c r="K78" s="745">
        <f t="shared" si="23"/>
        <v>0</v>
      </c>
    </row>
    <row r="79" spans="1:11" ht="12.75" customHeight="1" x14ac:dyDescent="0.2">
      <c r="A79" s="521" t="s">
        <v>1070</v>
      </c>
      <c r="B79" s="170"/>
      <c r="C79" s="758">
        <v>0</v>
      </c>
      <c r="D79" s="755">
        <v>0</v>
      </c>
      <c r="E79" s="743">
        <v>0</v>
      </c>
      <c r="F79" s="743">
        <v>0</v>
      </c>
      <c r="G79" s="743">
        <v>0</v>
      </c>
      <c r="H79" s="973">
        <f t="shared" si="24"/>
        <v>0</v>
      </c>
      <c r="I79" s="45">
        <f t="shared" si="20"/>
        <v>0</v>
      </c>
      <c r="J79" s="333" t="str">
        <f t="shared" si="21"/>
        <v/>
      </c>
      <c r="K79" s="745">
        <f t="shared" si="23"/>
        <v>0</v>
      </c>
    </row>
    <row r="80" spans="1:11" ht="12.75" customHeight="1" x14ac:dyDescent="0.2">
      <c r="A80" s="521" t="s">
        <v>1071</v>
      </c>
      <c r="B80" s="170"/>
      <c r="C80" s="758">
        <v>0</v>
      </c>
      <c r="D80" s="755">
        <v>0</v>
      </c>
      <c r="E80" s="743">
        <v>0</v>
      </c>
      <c r="F80" s="743">
        <v>0</v>
      </c>
      <c r="G80" s="743">
        <v>0</v>
      </c>
      <c r="H80" s="973">
        <f t="shared" si="24"/>
        <v>0</v>
      </c>
      <c r="I80" s="45">
        <f t="shared" si="20"/>
        <v>0</v>
      </c>
      <c r="J80" s="333" t="str">
        <f t="shared" si="21"/>
        <v/>
      </c>
      <c r="K80" s="745">
        <f t="shared" si="23"/>
        <v>0</v>
      </c>
    </row>
    <row r="81" spans="1:11" ht="12.75" customHeight="1" x14ac:dyDescent="0.2">
      <c r="A81" s="521" t="s">
        <v>1072</v>
      </c>
      <c r="B81" s="170"/>
      <c r="C81" s="758">
        <v>0</v>
      </c>
      <c r="D81" s="755">
        <v>0</v>
      </c>
      <c r="E81" s="743">
        <v>0</v>
      </c>
      <c r="F81" s="743">
        <v>0</v>
      </c>
      <c r="G81" s="743">
        <v>0</v>
      </c>
      <c r="H81" s="973">
        <f t="shared" si="24"/>
        <v>0</v>
      </c>
      <c r="I81" s="45">
        <f t="shared" si="20"/>
        <v>0</v>
      </c>
      <c r="J81" s="333" t="str">
        <f t="shared" si="21"/>
        <v/>
      </c>
      <c r="K81" s="745">
        <f t="shared" si="23"/>
        <v>0</v>
      </c>
    </row>
    <row r="82" spans="1:11" ht="12.75" customHeight="1" x14ac:dyDescent="0.2">
      <c r="A82" s="521" t="s">
        <v>1073</v>
      </c>
      <c r="B82" s="170">
        <v>2</v>
      </c>
      <c r="C82" s="758">
        <v>0</v>
      </c>
      <c r="D82" s="755">
        <v>0</v>
      </c>
      <c r="E82" s="743">
        <v>0</v>
      </c>
      <c r="F82" s="743"/>
      <c r="G82" s="743"/>
      <c r="H82" s="973">
        <f t="shared" si="24"/>
        <v>0</v>
      </c>
      <c r="I82" s="45">
        <f t="shared" si="20"/>
        <v>0</v>
      </c>
      <c r="J82" s="333" t="str">
        <f t="shared" si="21"/>
        <v/>
      </c>
      <c r="K82" s="745">
        <f t="shared" si="23"/>
        <v>0</v>
      </c>
    </row>
    <row r="83" spans="1:11" ht="12.75" customHeight="1" x14ac:dyDescent="0.2">
      <c r="A83" s="88" t="s">
        <v>853</v>
      </c>
      <c r="B83" s="170"/>
      <c r="C83" s="519">
        <f t="shared" ref="C83:K83" si="25">SUM(C71:C82)</f>
        <v>1195432.5333333334</v>
      </c>
      <c r="D83" s="478">
        <f t="shared" si="25"/>
        <v>0</v>
      </c>
      <c r="E83" s="433">
        <f t="shared" si="25"/>
        <v>0</v>
      </c>
      <c r="F83" s="433">
        <f>SUM(F71:F82)</f>
        <v>0</v>
      </c>
      <c r="G83" s="433">
        <f>SUM(G71:G82)</f>
        <v>0</v>
      </c>
      <c r="H83" s="433">
        <f>SUM(H71:H82)</f>
        <v>0</v>
      </c>
      <c r="I83" s="433">
        <f t="shared" si="20"/>
        <v>0</v>
      </c>
      <c r="J83" s="434" t="str">
        <f>IF(I83=0,"",I83/H83)</f>
        <v/>
      </c>
      <c r="K83" s="516">
        <f t="shared" si="25"/>
        <v>0</v>
      </c>
    </row>
    <row r="84" spans="1:11" ht="12.75" customHeight="1" x14ac:dyDescent="0.2">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739</v>
      </c>
      <c r="B86" s="170"/>
      <c r="C86" s="41"/>
      <c r="D86" s="105"/>
      <c r="E86" s="104"/>
      <c r="F86" s="104"/>
      <c r="G86" s="104"/>
      <c r="H86" s="104"/>
      <c r="I86" s="104"/>
      <c r="J86" s="333"/>
      <c r="K86" s="267"/>
    </row>
    <row r="87" spans="1:11" ht="12.75" customHeight="1" x14ac:dyDescent="0.2">
      <c r="A87" s="521" t="s">
        <v>503</v>
      </c>
      <c r="B87" s="170"/>
      <c r="C87" s="758">
        <v>0</v>
      </c>
      <c r="D87" s="755"/>
      <c r="E87" s="743"/>
      <c r="F87" s="743"/>
      <c r="G87" s="743"/>
      <c r="H87" s="743"/>
      <c r="I87" s="45">
        <f t="shared" ref="I87:I99" si="26">G87-H87</f>
        <v>0</v>
      </c>
      <c r="J87" s="333" t="str">
        <f t="shared" ref="J87:J98" si="27">IF(I87=0,"",I87/H87)</f>
        <v/>
      </c>
      <c r="K87" s="745">
        <f>D87</f>
        <v>0</v>
      </c>
    </row>
    <row r="88" spans="1:11" ht="12.75" customHeight="1" x14ac:dyDescent="0.2">
      <c r="A88" s="521" t="s">
        <v>1066</v>
      </c>
      <c r="B88" s="170"/>
      <c r="C88" s="758">
        <v>0</v>
      </c>
      <c r="D88" s="755"/>
      <c r="E88" s="743"/>
      <c r="F88" s="743"/>
      <c r="G88" s="743"/>
      <c r="H88" s="743"/>
      <c r="I88" s="45">
        <f t="shared" si="26"/>
        <v>0</v>
      </c>
      <c r="J88" s="333" t="str">
        <f t="shared" si="27"/>
        <v/>
      </c>
      <c r="K88" s="745">
        <f t="shared" ref="K88:K98" si="28">D88</f>
        <v>0</v>
      </c>
    </row>
    <row r="89" spans="1:11" ht="12.75" customHeight="1" x14ac:dyDescent="0.2">
      <c r="A89" s="521" t="s">
        <v>436</v>
      </c>
      <c r="B89" s="170"/>
      <c r="C89" s="758">
        <v>0</v>
      </c>
      <c r="D89" s="755"/>
      <c r="E89" s="743"/>
      <c r="F89" s="743"/>
      <c r="G89" s="743"/>
      <c r="H89" s="743"/>
      <c r="I89" s="45">
        <f>G89-H89</f>
        <v>0</v>
      </c>
      <c r="J89" s="333" t="str">
        <f>IF(I89=0,"",I89/H89)</f>
        <v/>
      </c>
      <c r="K89" s="745">
        <f t="shared" si="28"/>
        <v>0</v>
      </c>
    </row>
    <row r="90" spans="1:11" ht="12.75" customHeight="1" x14ac:dyDescent="0.2">
      <c r="A90" s="521" t="s">
        <v>558</v>
      </c>
      <c r="B90" s="170"/>
      <c r="C90" s="758">
        <v>0</v>
      </c>
      <c r="D90" s="755"/>
      <c r="E90" s="743"/>
      <c r="F90" s="743"/>
      <c r="G90" s="743"/>
      <c r="H90" s="743"/>
      <c r="I90" s="45">
        <f>G90-H90</f>
        <v>0</v>
      </c>
      <c r="J90" s="333" t="str">
        <f>IF(I90=0,"",I90/H90)</f>
        <v/>
      </c>
      <c r="K90" s="745">
        <f t="shared" si="28"/>
        <v>0</v>
      </c>
    </row>
    <row r="91" spans="1:11" ht="12.75" customHeight="1" x14ac:dyDescent="0.2">
      <c r="A91" s="521" t="s">
        <v>438</v>
      </c>
      <c r="B91" s="170"/>
      <c r="C91" s="758">
        <v>0</v>
      </c>
      <c r="D91" s="755"/>
      <c r="E91" s="743"/>
      <c r="F91" s="743"/>
      <c r="G91" s="743"/>
      <c r="H91" s="743"/>
      <c r="I91" s="45">
        <f>G91-H91</f>
        <v>0</v>
      </c>
      <c r="J91" s="333" t="str">
        <f>IF(I91=0,"",I91/H91)</f>
        <v/>
      </c>
      <c r="K91" s="745">
        <f t="shared" si="28"/>
        <v>0</v>
      </c>
    </row>
    <row r="92" spans="1:11" ht="12.75" customHeight="1" x14ac:dyDescent="0.2">
      <c r="A92" s="521" t="s">
        <v>1067</v>
      </c>
      <c r="B92" s="170"/>
      <c r="C92" s="758">
        <v>0</v>
      </c>
      <c r="D92" s="755"/>
      <c r="E92" s="743"/>
      <c r="F92" s="743"/>
      <c r="G92" s="743"/>
      <c r="H92" s="743"/>
      <c r="I92" s="45">
        <f>G92-H92</f>
        <v>0</v>
      </c>
      <c r="J92" s="333" t="str">
        <f>IF(I92=0,"",I92/H92)</f>
        <v/>
      </c>
      <c r="K92" s="745">
        <f t="shared" si="28"/>
        <v>0</v>
      </c>
    </row>
    <row r="93" spans="1:11" ht="12.75" customHeight="1" x14ac:dyDescent="0.2">
      <c r="A93" s="521" t="s">
        <v>1068</v>
      </c>
      <c r="B93" s="170"/>
      <c r="C93" s="758">
        <v>0</v>
      </c>
      <c r="D93" s="755"/>
      <c r="E93" s="743"/>
      <c r="F93" s="743"/>
      <c r="G93" s="743"/>
      <c r="H93" s="743"/>
      <c r="I93" s="45">
        <f t="shared" si="26"/>
        <v>0</v>
      </c>
      <c r="J93" s="333" t="str">
        <f t="shared" si="27"/>
        <v/>
      </c>
      <c r="K93" s="745">
        <f t="shared" si="28"/>
        <v>0</v>
      </c>
    </row>
    <row r="94" spans="1:11" ht="12.75" customHeight="1" x14ac:dyDescent="0.2">
      <c r="A94" s="521" t="s">
        <v>1069</v>
      </c>
      <c r="B94" s="170"/>
      <c r="C94" s="758">
        <v>0</v>
      </c>
      <c r="D94" s="755"/>
      <c r="E94" s="743"/>
      <c r="F94" s="743"/>
      <c r="G94" s="743"/>
      <c r="H94" s="743"/>
      <c r="I94" s="45">
        <f t="shared" si="26"/>
        <v>0</v>
      </c>
      <c r="J94" s="333" t="str">
        <f t="shared" si="27"/>
        <v/>
      </c>
      <c r="K94" s="745">
        <f t="shared" si="28"/>
        <v>0</v>
      </c>
    </row>
    <row r="95" spans="1:11" ht="12.75" customHeight="1" x14ac:dyDescent="0.2">
      <c r="A95" s="521" t="s">
        <v>1070</v>
      </c>
      <c r="B95" s="170"/>
      <c r="C95" s="758">
        <v>0</v>
      </c>
      <c r="D95" s="755"/>
      <c r="E95" s="743"/>
      <c r="F95" s="743"/>
      <c r="G95" s="743"/>
      <c r="H95" s="973"/>
      <c r="I95" s="45">
        <f t="shared" si="26"/>
        <v>0</v>
      </c>
      <c r="J95" s="333" t="str">
        <f t="shared" si="27"/>
        <v/>
      </c>
      <c r="K95" s="745">
        <f t="shared" si="28"/>
        <v>0</v>
      </c>
    </row>
    <row r="96" spans="1:11" ht="12.75" customHeight="1" x14ac:dyDescent="0.2">
      <c r="A96" s="521" t="s">
        <v>1071</v>
      </c>
      <c r="B96" s="170"/>
      <c r="C96" s="758">
        <v>0</v>
      </c>
      <c r="D96" s="755"/>
      <c r="E96" s="743"/>
      <c r="F96" s="743"/>
      <c r="G96" s="743"/>
      <c r="H96" s="973"/>
      <c r="I96" s="45">
        <f t="shared" si="26"/>
        <v>0</v>
      </c>
      <c r="J96" s="333" t="str">
        <f t="shared" si="27"/>
        <v/>
      </c>
      <c r="K96" s="745">
        <f t="shared" si="28"/>
        <v>0</v>
      </c>
    </row>
    <row r="97" spans="1:14" ht="12.75" customHeight="1" x14ac:dyDescent="0.2">
      <c r="A97" s="521" t="s">
        <v>1072</v>
      </c>
      <c r="B97" s="170"/>
      <c r="C97" s="758">
        <v>0</v>
      </c>
      <c r="D97" s="755"/>
      <c r="E97" s="743"/>
      <c r="F97" s="743"/>
      <c r="G97" s="743"/>
      <c r="H97" s="973"/>
      <c r="I97" s="45">
        <f t="shared" si="26"/>
        <v>0</v>
      </c>
      <c r="J97" s="333" t="str">
        <f t="shared" si="27"/>
        <v/>
      </c>
      <c r="K97" s="745">
        <v>0</v>
      </c>
    </row>
    <row r="98" spans="1:14" ht="12.75" customHeight="1" x14ac:dyDescent="0.2">
      <c r="A98" s="521" t="s">
        <v>1073</v>
      </c>
      <c r="B98" s="170"/>
      <c r="C98" s="758">
        <v>0</v>
      </c>
      <c r="D98" s="755"/>
      <c r="E98" s="743"/>
      <c r="F98" s="743"/>
      <c r="G98" s="743"/>
      <c r="H98" s="973"/>
      <c r="I98" s="45">
        <f t="shared" si="26"/>
        <v>0</v>
      </c>
      <c r="J98" s="333" t="str">
        <f t="shared" si="27"/>
        <v/>
      </c>
      <c r="K98" s="745">
        <f t="shared" si="28"/>
        <v>0</v>
      </c>
    </row>
    <row r="99" spans="1:14" ht="12.75" customHeight="1" x14ac:dyDescent="0.2">
      <c r="A99" s="88" t="s">
        <v>524</v>
      </c>
      <c r="B99" s="170"/>
      <c r="C99" s="519">
        <f t="shared" ref="C99:H99" si="29">SUM(C87:C98)</f>
        <v>0</v>
      </c>
      <c r="D99" s="478">
        <f t="shared" si="29"/>
        <v>0</v>
      </c>
      <c r="E99" s="433">
        <f t="shared" si="29"/>
        <v>0</v>
      </c>
      <c r="F99" s="433">
        <f t="shared" si="29"/>
        <v>0</v>
      </c>
      <c r="G99" s="433">
        <f t="shared" si="29"/>
        <v>0</v>
      </c>
      <c r="H99" s="433">
        <f t="shared" si="29"/>
        <v>0</v>
      </c>
      <c r="I99" s="433">
        <f t="shared" si="26"/>
        <v>0</v>
      </c>
      <c r="J99" s="434" t="str">
        <f>IF(I99=0,"",I99/H99)</f>
        <v/>
      </c>
      <c r="K99" s="516">
        <f>SUM(K87:K98)</f>
        <v>0</v>
      </c>
    </row>
    <row r="100" spans="1:14" ht="12.75" customHeight="1" x14ac:dyDescent="0.2">
      <c r="A100" s="574" t="s">
        <v>744</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461</v>
      </c>
      <c r="B102" s="170"/>
      <c r="C102" s="519">
        <f t="shared" ref="C102:H102" si="30">C67+C83+C99</f>
        <v>3317069.1933333334</v>
      </c>
      <c r="D102" s="478">
        <f t="shared" si="30"/>
        <v>0</v>
      </c>
      <c r="E102" s="433">
        <f t="shared" si="30"/>
        <v>0</v>
      </c>
      <c r="F102" s="433">
        <f t="shared" si="30"/>
        <v>0</v>
      </c>
      <c r="G102" s="433">
        <f t="shared" si="30"/>
        <v>0</v>
      </c>
      <c r="H102" s="433">
        <f t="shared" si="30"/>
        <v>0</v>
      </c>
      <c r="I102" s="433">
        <f>G102-H102</f>
        <v>0</v>
      </c>
      <c r="J102" s="434" t="str">
        <f>IF(I102=0,"",I102/H102)</f>
        <v/>
      </c>
      <c r="K102" s="516">
        <f>K67+K83+K99</f>
        <v>0</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1002</v>
      </c>
      <c r="B104" s="237"/>
      <c r="C104" s="113">
        <f t="shared" ref="C104:H104" si="31">C49+C102</f>
        <v>805428801.72333336</v>
      </c>
      <c r="D104" s="57">
        <f t="shared" si="31"/>
        <v>961293000</v>
      </c>
      <c r="E104" s="56">
        <f t="shared" si="31"/>
        <v>961862604</v>
      </c>
      <c r="F104" s="56">
        <f t="shared" si="31"/>
        <v>69131057.579999983</v>
      </c>
      <c r="G104" s="56">
        <f t="shared" si="31"/>
        <v>349652061.81999993</v>
      </c>
      <c r="H104" s="56">
        <f t="shared" si="31"/>
        <v>400776085</v>
      </c>
      <c r="I104" s="56">
        <f>G104-H104</f>
        <v>-51124023.180000067</v>
      </c>
      <c r="J104" s="335">
        <f>IF(I104=0,"",I104/H104)</f>
        <v>-0.12756255947756978</v>
      </c>
      <c r="K104" s="236">
        <f>K49+K102</f>
        <v>961862604</v>
      </c>
    </row>
    <row r="105" spans="1:14" ht="12.75" customHeight="1" x14ac:dyDescent="0.2">
      <c r="A105" s="574" t="s">
        <v>744</v>
      </c>
      <c r="B105" s="170">
        <v>4</v>
      </c>
      <c r="C105" s="402"/>
      <c r="D105" s="306">
        <f>IF(D104=0,"",(D104/C104)-1)</f>
        <v>0.19351704079016319</v>
      </c>
      <c r="E105" s="306">
        <f>IF(E104=0,"",(E104/C104)-1)</f>
        <v>0.19422424668940752</v>
      </c>
      <c r="F105" s="306"/>
      <c r="G105" s="306"/>
      <c r="H105" s="306"/>
      <c r="I105" s="404"/>
      <c r="J105" s="406"/>
      <c r="K105" s="315">
        <f>IF(K104=0,"",(K104/C104)-1)</f>
        <v>0.19422424668940752</v>
      </c>
      <c r="L105" s="68"/>
      <c r="M105" s="68"/>
      <c r="N105" s="68"/>
    </row>
    <row r="106" spans="1:14" ht="12.75" customHeight="1" x14ac:dyDescent="0.2">
      <c r="A106" s="576" t="s">
        <v>137</v>
      </c>
      <c r="B106" s="237"/>
      <c r="C106" s="113">
        <f t="shared" ref="C106:I106" si="32">C30+C46+C83+C99</f>
        <v>764947271.4133333</v>
      </c>
      <c r="D106" s="57">
        <f t="shared" si="32"/>
        <v>921193000</v>
      </c>
      <c r="E106" s="56">
        <f t="shared" si="32"/>
        <v>921762604</v>
      </c>
      <c r="F106" s="56">
        <f t="shared" si="32"/>
        <v>65924026.099999987</v>
      </c>
      <c r="G106" s="56">
        <f t="shared" si="32"/>
        <v>333535961.50999999</v>
      </c>
      <c r="H106" s="56">
        <f t="shared" si="32"/>
        <v>384067751.66666663</v>
      </c>
      <c r="I106" s="56">
        <f t="shared" si="32"/>
        <v>-50531790.156666674</v>
      </c>
      <c r="J106" s="895">
        <f>IF(I106=0,"",I106/H106)</f>
        <v>-0.13156998976712667</v>
      </c>
      <c r="K106" s="236">
        <f>K30+K46+K83+K99</f>
        <v>921762604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470</v>
      </c>
      <c r="B108" s="59"/>
      <c r="C108" s="85"/>
      <c r="D108" s="85"/>
      <c r="E108" s="85"/>
      <c r="F108" s="85"/>
      <c r="G108" s="85"/>
      <c r="H108" s="85"/>
      <c r="I108" s="85"/>
      <c r="J108" s="85"/>
      <c r="K108" s="85"/>
      <c r="L108" s="68"/>
      <c r="M108" s="68"/>
      <c r="N108" s="68"/>
    </row>
    <row r="109" spans="1:14" ht="12.75" customHeight="1" x14ac:dyDescent="0.2">
      <c r="A109" s="81" t="s">
        <v>798</v>
      </c>
      <c r="B109" s="59"/>
      <c r="C109" s="85"/>
      <c r="D109" s="85"/>
      <c r="E109" s="85"/>
      <c r="F109" s="85"/>
      <c r="G109" s="85"/>
      <c r="H109" s="85"/>
      <c r="I109" s="85"/>
      <c r="J109" s="85"/>
      <c r="K109" s="85"/>
      <c r="L109" s="68"/>
      <c r="M109" s="68"/>
      <c r="N109" s="68"/>
    </row>
    <row r="110" spans="1:14" ht="12.75" customHeight="1" x14ac:dyDescent="0.2">
      <c r="A110" s="122" t="s">
        <v>471</v>
      </c>
    </row>
    <row r="111" spans="1:14" ht="12.75" customHeight="1" x14ac:dyDescent="0.2">
      <c r="A111" s="122" t="s">
        <v>472</v>
      </c>
    </row>
    <row r="112" spans="1:14" ht="12.75" customHeight="1" x14ac:dyDescent="0.2">
      <c r="A112" s="96" t="s">
        <v>625</v>
      </c>
    </row>
    <row r="113" spans="1:2" ht="12.75" customHeight="1" x14ac:dyDescent="0.2">
      <c r="A113" s="122" t="s">
        <v>850</v>
      </c>
    </row>
    <row r="114" spans="1:2" ht="12.75" customHeight="1" x14ac:dyDescent="0.2">
      <c r="A114" s="122" t="s">
        <v>851</v>
      </c>
    </row>
    <row r="115" spans="1:2" ht="12.75" customHeight="1" x14ac:dyDescent="0.2">
      <c r="A115" s="122" t="s">
        <v>775</v>
      </c>
    </row>
    <row r="116" spans="1:2" ht="12.75" customHeight="1" x14ac:dyDescent="0.2">
      <c r="A116" s="122" t="s">
        <v>776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9" type="noConversion"/>
  <printOptions horizontalCentered="1"/>
  <pageMargins left="0.33" right="0.16" top="0.61" bottom="0.61" header="0.51181102362204722" footer="0.41"/>
  <pageSetup paperSize="9" scale="63"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20" activePane="bottomRight" state="frozen"/>
      <selection pane="topRight"/>
      <selection pane="bottomLeft"/>
      <selection pane="bottomRight" activeCell="G51" sqref="G51"/>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M05 November</v>
      </c>
      <c r="B1" s="69"/>
    </row>
    <row r="2" spans="1:17" ht="25.5" customHeight="1" x14ac:dyDescent="0.2">
      <c r="A2" s="1031" t="str">
        <f>desc</f>
        <v>Description</v>
      </c>
      <c r="B2" s="1024" t="str">
        <f>head27</f>
        <v>Ref</v>
      </c>
      <c r="C2" s="1026" t="str">
        <f>Head2</f>
        <v>Budget Year 2019/20</v>
      </c>
      <c r="D2" s="1027"/>
      <c r="E2" s="1027"/>
      <c r="F2" s="1027"/>
      <c r="G2" s="1027"/>
      <c r="H2" s="1027"/>
      <c r="I2" s="1027"/>
      <c r="J2" s="1027"/>
      <c r="K2" s="1027"/>
      <c r="L2" s="1027"/>
      <c r="M2" s="1027"/>
      <c r="N2" s="1077"/>
      <c r="O2" s="1026" t="str">
        <f>'Template names'!B5</f>
        <v>2019/20 Medium Term Revenue &amp; Expenditure Framework</v>
      </c>
      <c r="P2" s="1027"/>
      <c r="Q2" s="1028"/>
    </row>
    <row r="3" spans="1:17" ht="12.75" customHeight="1" x14ac:dyDescent="0.2">
      <c r="A3" s="1032"/>
      <c r="B3" s="1035"/>
      <c r="C3" s="144" t="s">
        <v>804</v>
      </c>
      <c r="D3" s="27" t="s">
        <v>935</v>
      </c>
      <c r="E3" s="27" t="s">
        <v>3</v>
      </c>
      <c r="F3" s="27" t="s">
        <v>936</v>
      </c>
      <c r="G3" s="27" t="s">
        <v>4</v>
      </c>
      <c r="H3" s="27" t="s">
        <v>5</v>
      </c>
      <c r="I3" s="27" t="s">
        <v>939</v>
      </c>
      <c r="J3" s="27" t="s">
        <v>6</v>
      </c>
      <c r="K3" s="27" t="s">
        <v>941</v>
      </c>
      <c r="L3" s="27" t="s">
        <v>942</v>
      </c>
      <c r="M3" s="27" t="s">
        <v>943</v>
      </c>
      <c r="N3" s="164" t="s">
        <v>944</v>
      </c>
      <c r="O3" s="1075" t="str">
        <f>Head9</f>
        <v>Budget Year 2019/20</v>
      </c>
      <c r="P3" s="1071" t="str">
        <f>Head10</f>
        <v>Budget Year +1 2020/21</v>
      </c>
      <c r="Q3" s="1073" t="str">
        <f>Head11</f>
        <v>Budget Year +2 2021/22</v>
      </c>
    </row>
    <row r="4" spans="1:17" ht="13.5" customHeight="1" x14ac:dyDescent="0.2">
      <c r="A4" s="294" t="s">
        <v>687</v>
      </c>
      <c r="B4" s="249">
        <v>1</v>
      </c>
      <c r="C4" s="800" t="s">
        <v>569</v>
      </c>
      <c r="D4" s="801" t="s">
        <v>569</v>
      </c>
      <c r="E4" s="801" t="s">
        <v>569</v>
      </c>
      <c r="F4" s="801" t="s">
        <v>569</v>
      </c>
      <c r="G4" s="801" t="s">
        <v>569</v>
      </c>
      <c r="H4" s="801" t="s">
        <v>569</v>
      </c>
      <c r="I4" s="801" t="s">
        <v>51</v>
      </c>
      <c r="J4" s="801" t="s">
        <v>51</v>
      </c>
      <c r="K4" s="801" t="s">
        <v>51</v>
      </c>
      <c r="L4" s="801" t="s">
        <v>51</v>
      </c>
      <c r="M4" s="801" t="s">
        <v>51</v>
      </c>
      <c r="N4" s="802" t="s">
        <v>51</v>
      </c>
      <c r="O4" s="1076"/>
      <c r="P4" s="1072"/>
      <c r="Q4" s="1074"/>
    </row>
    <row r="5" spans="1:17" ht="12.75" customHeight="1" x14ac:dyDescent="0.2">
      <c r="A5" s="36" t="s">
        <v>962</v>
      </c>
      <c r="B5" s="39"/>
      <c r="C5" s="259"/>
      <c r="D5" s="239"/>
      <c r="E5" s="239"/>
      <c r="F5" s="239"/>
      <c r="G5" s="239"/>
      <c r="H5" s="239"/>
      <c r="I5" s="239"/>
      <c r="J5" s="239"/>
      <c r="K5" s="239"/>
      <c r="L5" s="239"/>
      <c r="M5" s="239"/>
      <c r="N5" s="319"/>
      <c r="O5" s="238"/>
      <c r="P5" s="239"/>
      <c r="Q5" s="287"/>
    </row>
    <row r="6" spans="1:17" ht="12.75" customHeight="1" x14ac:dyDescent="0.2">
      <c r="A6" s="40" t="s">
        <v>961</v>
      </c>
      <c r="B6" s="41"/>
      <c r="C6" s="763">
        <v>21527649.159999922</v>
      </c>
      <c r="D6" s="743">
        <v>23955112.77</v>
      </c>
      <c r="E6" s="743">
        <v>30559775.499999888</v>
      </c>
      <c r="F6" s="743">
        <v>57249953.220000014</v>
      </c>
      <c r="G6" s="743">
        <v>42126851.800000079</v>
      </c>
      <c r="H6" s="743">
        <v>0</v>
      </c>
      <c r="I6" s="743">
        <v>0</v>
      </c>
      <c r="J6" s="743">
        <v>0</v>
      </c>
      <c r="K6" s="743">
        <v>0</v>
      </c>
      <c r="L6" s="743">
        <v>0</v>
      </c>
      <c r="M6" s="743">
        <v>0</v>
      </c>
      <c r="N6" s="109">
        <f t="shared" ref="N6:N20" si="0">O6-SUM(C6:M6)</f>
        <v>246980657.5500001</v>
      </c>
      <c r="O6" s="755">
        <v>422400000</v>
      </c>
      <c r="P6" s="743">
        <v>407040000</v>
      </c>
      <c r="Q6" s="745">
        <v>431462400</v>
      </c>
    </row>
    <row r="7" spans="1:17" ht="12.75" customHeight="1" x14ac:dyDescent="0.2">
      <c r="A7" s="40" t="s">
        <v>856</v>
      </c>
      <c r="B7" s="41"/>
      <c r="C7" s="763">
        <v>69387857.930000037</v>
      </c>
      <c r="D7" s="743">
        <v>57583427.490000039</v>
      </c>
      <c r="E7" s="743">
        <v>86864322.189999938</v>
      </c>
      <c r="F7" s="743">
        <v>134146364.0699999</v>
      </c>
      <c r="G7" s="743">
        <v>77072488.37000002</v>
      </c>
      <c r="H7" s="743">
        <v>0</v>
      </c>
      <c r="I7" s="743">
        <v>0</v>
      </c>
      <c r="J7" s="743">
        <v>0</v>
      </c>
      <c r="K7" s="743">
        <v>0</v>
      </c>
      <c r="L7" s="743">
        <v>0</v>
      </c>
      <c r="M7" s="743">
        <v>0</v>
      </c>
      <c r="N7" s="109">
        <f t="shared" si="0"/>
        <v>660420839.95000005</v>
      </c>
      <c r="O7" s="755">
        <v>1085475300</v>
      </c>
      <c r="P7" s="743">
        <v>1193051200</v>
      </c>
      <c r="Q7" s="745">
        <v>1313724720</v>
      </c>
    </row>
    <row r="8" spans="1:17" ht="12.75" customHeight="1" x14ac:dyDescent="0.2">
      <c r="A8" s="40" t="s">
        <v>857</v>
      </c>
      <c r="B8" s="41"/>
      <c r="C8" s="763">
        <v>15311806.950000059</v>
      </c>
      <c r="D8" s="743">
        <v>12881437.919999957</v>
      </c>
      <c r="E8" s="743">
        <v>13688499.829999998</v>
      </c>
      <c r="F8" s="743">
        <v>25821457.569999978</v>
      </c>
      <c r="G8" s="743">
        <v>19660671.390000075</v>
      </c>
      <c r="H8" s="743">
        <v>0</v>
      </c>
      <c r="I8" s="743">
        <v>0</v>
      </c>
      <c r="J8" s="743">
        <v>0</v>
      </c>
      <c r="K8" s="743">
        <v>0</v>
      </c>
      <c r="L8" s="743">
        <v>0</v>
      </c>
      <c r="M8" s="743">
        <v>0</v>
      </c>
      <c r="N8" s="109">
        <f t="shared" si="0"/>
        <v>195501436.33999991</v>
      </c>
      <c r="O8" s="755">
        <v>282865310</v>
      </c>
      <c r="P8" s="743">
        <v>289952960</v>
      </c>
      <c r="Q8" s="745">
        <v>307348800</v>
      </c>
    </row>
    <row r="9" spans="1:17" ht="12.75" customHeight="1" x14ac:dyDescent="0.2">
      <c r="A9" s="40" t="s">
        <v>858</v>
      </c>
      <c r="B9" s="41"/>
      <c r="C9" s="763">
        <v>6170739.5499999635</v>
      </c>
      <c r="D9" s="743">
        <v>6214892.5799999796</v>
      </c>
      <c r="E9" s="743">
        <v>10885635.300000021</v>
      </c>
      <c r="F9" s="743">
        <v>7060800.139999995</v>
      </c>
      <c r="G9" s="743">
        <v>10024146.799999993</v>
      </c>
      <c r="H9" s="743">
        <v>0</v>
      </c>
      <c r="I9" s="743">
        <v>0</v>
      </c>
      <c r="J9" s="743">
        <v>0</v>
      </c>
      <c r="K9" s="743">
        <v>0</v>
      </c>
      <c r="L9" s="743">
        <v>0</v>
      </c>
      <c r="M9" s="743">
        <v>0</v>
      </c>
      <c r="N9" s="109">
        <f t="shared" si="0"/>
        <v>81377215.630000055</v>
      </c>
      <c r="O9" s="755">
        <v>121733430</v>
      </c>
      <c r="P9" s="743">
        <v>124784000</v>
      </c>
      <c r="Q9" s="745">
        <v>132271920</v>
      </c>
    </row>
    <row r="10" spans="1:17" ht="12.75" customHeight="1" x14ac:dyDescent="0.2">
      <c r="A10" s="40" t="s">
        <v>498</v>
      </c>
      <c r="B10" s="41"/>
      <c r="C10" s="763">
        <v>6459479.520000007</v>
      </c>
      <c r="D10" s="743">
        <v>5984146.1099999845</v>
      </c>
      <c r="E10" s="743">
        <v>8187231.8100000042</v>
      </c>
      <c r="F10" s="743">
        <v>9718358.5199999996</v>
      </c>
      <c r="G10" s="743">
        <v>8938643.7100000065</v>
      </c>
      <c r="H10" s="743">
        <v>0</v>
      </c>
      <c r="I10" s="743">
        <v>0</v>
      </c>
      <c r="J10" s="743">
        <v>0</v>
      </c>
      <c r="K10" s="743">
        <v>0</v>
      </c>
      <c r="L10" s="743">
        <v>0</v>
      </c>
      <c r="M10" s="743">
        <v>0</v>
      </c>
      <c r="N10" s="109">
        <f t="shared" si="0"/>
        <v>77762710.329999998</v>
      </c>
      <c r="O10" s="755">
        <v>117050570</v>
      </c>
      <c r="P10" s="743">
        <v>119956320</v>
      </c>
      <c r="Q10" s="743">
        <v>127128320</v>
      </c>
    </row>
    <row r="11" spans="1:17" ht="12.75" customHeight="1" x14ac:dyDescent="0.2">
      <c r="A11" s="40" t="s">
        <v>859</v>
      </c>
      <c r="B11" s="41"/>
      <c r="C11" s="743"/>
      <c r="D11" s="743">
        <v>0</v>
      </c>
      <c r="E11" s="743">
        <v>0</v>
      </c>
      <c r="F11" s="743">
        <v>0</v>
      </c>
      <c r="G11" s="743"/>
      <c r="H11" s="743">
        <v>0</v>
      </c>
      <c r="I11" s="743">
        <v>0</v>
      </c>
      <c r="J11" s="743">
        <v>0</v>
      </c>
      <c r="K11" s="743">
        <v>0</v>
      </c>
      <c r="L11" s="743">
        <v>0</v>
      </c>
      <c r="M11" s="743">
        <v>0</v>
      </c>
      <c r="N11" s="109">
        <f t="shared" si="0"/>
        <v>0</v>
      </c>
      <c r="O11" s="755"/>
      <c r="P11" s="743">
        <v>0</v>
      </c>
      <c r="Q11" s="745">
        <v>0</v>
      </c>
    </row>
    <row r="12" spans="1:17" ht="12.75" customHeight="1" x14ac:dyDescent="0.2">
      <c r="A12" s="40" t="s">
        <v>993</v>
      </c>
      <c r="B12" s="41"/>
      <c r="C12" s="743">
        <v>786064.04000002029</v>
      </c>
      <c r="D12" s="743">
        <v>2626829.48</v>
      </c>
      <c r="E12" s="743">
        <v>577277.94999999995</v>
      </c>
      <c r="F12" s="743">
        <v>696796.46</v>
      </c>
      <c r="G12" s="743">
        <v>613820.54</v>
      </c>
      <c r="H12" s="743">
        <v>0</v>
      </c>
      <c r="I12" s="743">
        <v>0</v>
      </c>
      <c r="J12" s="743">
        <v>0</v>
      </c>
      <c r="K12" s="743">
        <v>0</v>
      </c>
      <c r="L12" s="743">
        <v>0</v>
      </c>
      <c r="M12" s="743">
        <v>0</v>
      </c>
      <c r="N12" s="109">
        <f t="shared" si="0"/>
        <v>30679701.529999979</v>
      </c>
      <c r="O12" s="755">
        <v>35980490</v>
      </c>
      <c r="P12" s="743">
        <v>36881680</v>
      </c>
      <c r="Q12" s="745">
        <v>39089600</v>
      </c>
    </row>
    <row r="13" spans="1:17" ht="12.75" customHeight="1" x14ac:dyDescent="0.2">
      <c r="A13" s="40" t="s">
        <v>862</v>
      </c>
      <c r="B13" s="41"/>
      <c r="C13" s="763">
        <v>1551166.67</v>
      </c>
      <c r="D13" s="743">
        <v>957401.92999999993</v>
      </c>
      <c r="E13" s="743">
        <v>796040.7300000001</v>
      </c>
      <c r="F13" s="743">
        <v>1196243.1599999999</v>
      </c>
      <c r="G13" s="743">
        <v>1061679.7</v>
      </c>
      <c r="H13" s="743">
        <v>0</v>
      </c>
      <c r="I13" s="743">
        <v>0</v>
      </c>
      <c r="J13" s="743">
        <v>0</v>
      </c>
      <c r="K13" s="743">
        <v>0</v>
      </c>
      <c r="L13" s="743">
        <v>0</v>
      </c>
      <c r="M13" s="743">
        <v>0</v>
      </c>
      <c r="N13" s="109">
        <f t="shared" si="0"/>
        <v>20752847.810000002</v>
      </c>
      <c r="O13" s="755">
        <v>26315380</v>
      </c>
      <c r="P13" s="743">
        <v>26974640</v>
      </c>
      <c r="Q13" s="745">
        <v>28592960</v>
      </c>
    </row>
    <row r="14" spans="1:17" ht="12.75" customHeight="1" x14ac:dyDescent="0.2">
      <c r="A14" s="40" t="s">
        <v>863</v>
      </c>
      <c r="B14" s="41"/>
      <c r="C14" s="763">
        <v>8662844.0399999991</v>
      </c>
      <c r="D14" s="743">
        <v>8435584.2300000004</v>
      </c>
      <c r="E14" s="743">
        <v>8891258.2300000004</v>
      </c>
      <c r="F14" s="743">
        <v>7651317.6299999999</v>
      </c>
      <c r="G14" s="743">
        <v>8669434.870000001</v>
      </c>
      <c r="H14" s="743">
        <v>0</v>
      </c>
      <c r="I14" s="743">
        <v>0</v>
      </c>
      <c r="J14" s="743">
        <v>0</v>
      </c>
      <c r="K14" s="743">
        <v>0</v>
      </c>
      <c r="L14" s="743">
        <v>0</v>
      </c>
      <c r="M14" s="743">
        <v>0</v>
      </c>
      <c r="N14" s="109">
        <f t="shared" si="0"/>
        <v>34857561</v>
      </c>
      <c r="O14" s="755">
        <v>77168000</v>
      </c>
      <c r="P14" s="743">
        <v>79101440</v>
      </c>
      <c r="Q14" s="745">
        <v>83848160</v>
      </c>
    </row>
    <row r="15" spans="1:17" ht="12.75" customHeight="1" x14ac:dyDescent="0.2">
      <c r="A15" s="40" t="s">
        <v>951</v>
      </c>
      <c r="B15" s="41"/>
      <c r="C15" s="763">
        <v>0</v>
      </c>
      <c r="D15" s="743">
        <v>0</v>
      </c>
      <c r="E15" s="743">
        <v>0</v>
      </c>
      <c r="F15" s="743">
        <v>0</v>
      </c>
      <c r="G15" s="743">
        <v>0</v>
      </c>
      <c r="H15" s="743">
        <v>0</v>
      </c>
      <c r="I15" s="743">
        <v>0</v>
      </c>
      <c r="J15" s="743">
        <v>0</v>
      </c>
      <c r="K15" s="743">
        <v>0</v>
      </c>
      <c r="L15" s="743">
        <v>0</v>
      </c>
      <c r="M15" s="743">
        <v>0</v>
      </c>
      <c r="N15" s="109">
        <f t="shared" si="0"/>
        <v>0</v>
      </c>
      <c r="O15" s="755"/>
      <c r="P15" s="743">
        <v>0</v>
      </c>
      <c r="Q15" s="745">
        <v>0</v>
      </c>
    </row>
    <row r="16" spans="1:17" ht="12.75" customHeight="1" x14ac:dyDescent="0.2">
      <c r="A16" s="40" t="s">
        <v>1153</v>
      </c>
      <c r="B16" s="41"/>
      <c r="C16" s="763">
        <v>98220.61</v>
      </c>
      <c r="D16" s="743">
        <v>568136.31000000006</v>
      </c>
      <c r="E16" s="743">
        <v>550665.78</v>
      </c>
      <c r="F16" s="743">
        <v>270136.93</v>
      </c>
      <c r="G16" s="743">
        <v>625543.33000000007</v>
      </c>
      <c r="H16" s="743">
        <v>0</v>
      </c>
      <c r="I16" s="743">
        <v>0</v>
      </c>
      <c r="J16" s="743">
        <v>0</v>
      </c>
      <c r="K16" s="743">
        <v>0</v>
      </c>
      <c r="L16" s="743">
        <v>0</v>
      </c>
      <c r="M16" s="743">
        <v>0</v>
      </c>
      <c r="N16" s="109">
        <f t="shared" si="0"/>
        <v>13320897.039999999</v>
      </c>
      <c r="O16" s="755">
        <v>15433600</v>
      </c>
      <c r="P16" s="743">
        <v>15822400</v>
      </c>
      <c r="Q16" s="745">
        <v>16772800</v>
      </c>
    </row>
    <row r="17" spans="1:17" ht="12.75" customHeight="1" x14ac:dyDescent="0.2">
      <c r="A17" s="40" t="s">
        <v>864</v>
      </c>
      <c r="B17" s="41"/>
      <c r="C17" s="763">
        <v>1108559.28</v>
      </c>
      <c r="D17" s="743">
        <v>919130.65999999992</v>
      </c>
      <c r="E17" s="743">
        <v>697870.83</v>
      </c>
      <c r="F17" s="743">
        <v>890638.92</v>
      </c>
      <c r="G17" s="743">
        <v>898500.68</v>
      </c>
      <c r="H17" s="743">
        <v>0</v>
      </c>
      <c r="I17" s="743">
        <v>0</v>
      </c>
      <c r="J17" s="743">
        <v>0</v>
      </c>
      <c r="K17" s="743">
        <v>0</v>
      </c>
      <c r="L17" s="743">
        <v>0</v>
      </c>
      <c r="M17" s="743">
        <v>0</v>
      </c>
      <c r="N17" s="109">
        <f t="shared" si="0"/>
        <v>9375219.629999999</v>
      </c>
      <c r="O17" s="755">
        <v>13889920</v>
      </c>
      <c r="P17" s="743">
        <v>14725040</v>
      </c>
      <c r="Q17" s="745">
        <v>15605040</v>
      </c>
    </row>
    <row r="18" spans="1:17" ht="12.75" customHeight="1" x14ac:dyDescent="0.2">
      <c r="A18" s="40" t="s">
        <v>600</v>
      </c>
      <c r="B18" s="41"/>
      <c r="C18" s="763">
        <v>9933007.4700000007</v>
      </c>
      <c r="D18" s="743">
        <v>8183838.04</v>
      </c>
      <c r="E18" s="743">
        <v>7924379.9900000002</v>
      </c>
      <c r="F18" s="743">
        <v>10967617.220000001</v>
      </c>
      <c r="G18" s="743">
        <v>7220463.46</v>
      </c>
      <c r="H18" s="743">
        <v>0</v>
      </c>
      <c r="I18" s="743">
        <v>0</v>
      </c>
      <c r="J18" s="743">
        <v>0</v>
      </c>
      <c r="K18" s="743">
        <v>0</v>
      </c>
      <c r="L18" s="743">
        <v>0</v>
      </c>
      <c r="M18" s="743">
        <v>0</v>
      </c>
      <c r="N18" s="109">
        <f t="shared" si="0"/>
        <v>-20909306.18</v>
      </c>
      <c r="O18" s="755">
        <v>23320000</v>
      </c>
      <c r="P18" s="743">
        <v>24719200</v>
      </c>
      <c r="Q18" s="745">
        <v>26202000</v>
      </c>
    </row>
    <row r="19" spans="1:17" ht="12.75" customHeight="1" x14ac:dyDescent="0.2">
      <c r="A19" s="40" t="s">
        <v>138</v>
      </c>
      <c r="B19" s="41"/>
      <c r="C19" s="763">
        <v>391834885</v>
      </c>
      <c r="D19" s="743">
        <v>6937600</v>
      </c>
      <c r="E19" s="743">
        <v>9809537.1899999995</v>
      </c>
      <c r="F19" s="743">
        <v>3000000</v>
      </c>
      <c r="G19" s="743">
        <f>'SC6'!F8</f>
        <v>22422376.144385308</v>
      </c>
      <c r="H19" s="743">
        <v>0</v>
      </c>
      <c r="I19" s="743">
        <v>0</v>
      </c>
      <c r="J19" s="743">
        <v>0</v>
      </c>
      <c r="K19" s="743">
        <v>0</v>
      </c>
      <c r="L19" s="743">
        <v>0</v>
      </c>
      <c r="M19" s="743">
        <v>0</v>
      </c>
      <c r="N19" s="109">
        <f t="shared" si="0"/>
        <v>605362601.66561472</v>
      </c>
      <c r="O19" s="755">
        <v>1039367000</v>
      </c>
      <c r="P19" s="743">
        <v>1149693000</v>
      </c>
      <c r="Q19" s="745">
        <v>1228909640</v>
      </c>
    </row>
    <row r="20" spans="1:17" ht="12.75" customHeight="1" x14ac:dyDescent="0.2">
      <c r="A20" s="40" t="s">
        <v>463</v>
      </c>
      <c r="B20" s="41"/>
      <c r="C20" s="763">
        <v>6262715.2300000191</v>
      </c>
      <c r="D20" s="743">
        <v>17190165.100000024</v>
      </c>
      <c r="E20" s="743">
        <v>37916019.970000178</v>
      </c>
      <c r="F20" s="743">
        <v>11375300.870000094</v>
      </c>
      <c r="G20" s="743">
        <v>21271304.899999917</v>
      </c>
      <c r="H20" s="743">
        <v>0</v>
      </c>
      <c r="I20" s="743">
        <v>0</v>
      </c>
      <c r="J20" s="743">
        <v>0</v>
      </c>
      <c r="K20" s="743">
        <v>0</v>
      </c>
      <c r="L20" s="743">
        <v>0</v>
      </c>
      <c r="M20" s="743">
        <v>0</v>
      </c>
      <c r="N20" s="109">
        <f t="shared" si="0"/>
        <v>168091613.92999977</v>
      </c>
      <c r="O20" s="755">
        <v>262107120</v>
      </c>
      <c r="P20" s="743">
        <v>189945360</v>
      </c>
      <c r="Q20" s="745">
        <v>206739280</v>
      </c>
    </row>
    <row r="21" spans="1:17" ht="12.75" customHeight="1" x14ac:dyDescent="0.2">
      <c r="A21" s="89" t="s">
        <v>963</v>
      </c>
      <c r="B21" s="53"/>
      <c r="C21" s="478">
        <f t="shared" ref="C21:Q21" si="1">SUM(C6:C20)</f>
        <v>539094995.45000005</v>
      </c>
      <c r="D21" s="433">
        <f t="shared" si="1"/>
        <v>152437702.62</v>
      </c>
      <c r="E21" s="433">
        <f t="shared" si="1"/>
        <v>217348515.30000001</v>
      </c>
      <c r="F21" s="433">
        <f t="shared" si="1"/>
        <v>270044984.70999998</v>
      </c>
      <c r="G21" s="433">
        <f t="shared" si="1"/>
        <v>220605925.69438541</v>
      </c>
      <c r="H21" s="433">
        <f t="shared" si="1"/>
        <v>0</v>
      </c>
      <c r="I21" s="433">
        <f t="shared" si="1"/>
        <v>0</v>
      </c>
      <c r="J21" s="433">
        <f t="shared" si="1"/>
        <v>0</v>
      </c>
      <c r="K21" s="433">
        <f t="shared" si="1"/>
        <v>0</v>
      </c>
      <c r="L21" s="433">
        <f t="shared" si="1"/>
        <v>0</v>
      </c>
      <c r="M21" s="433">
        <f t="shared" si="1"/>
        <v>0</v>
      </c>
      <c r="N21" s="511">
        <f t="shared" si="1"/>
        <v>2123573996.2256145</v>
      </c>
      <c r="O21" s="478">
        <f t="shared" si="1"/>
        <v>3523106120</v>
      </c>
      <c r="P21" s="433">
        <f t="shared" si="1"/>
        <v>3672647240</v>
      </c>
      <c r="Q21" s="516">
        <f t="shared" si="1"/>
        <v>3957695640</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
      <c r="A24" s="87" t="s">
        <v>139</v>
      </c>
      <c r="B24" s="41"/>
      <c r="C24" s="763">
        <v>199992115</v>
      </c>
      <c r="D24" s="743">
        <v>168336400</v>
      </c>
      <c r="E24" s="743">
        <v>14000000</v>
      </c>
      <c r="F24" s="743">
        <v>0</v>
      </c>
      <c r="G24" s="743">
        <f>'SC6'!F41</f>
        <v>319694623.85561472</v>
      </c>
      <c r="H24" s="743">
        <v>0</v>
      </c>
      <c r="I24" s="743">
        <v>0</v>
      </c>
      <c r="J24" s="743">
        <v>0</v>
      </c>
      <c r="K24" s="743">
        <v>0</v>
      </c>
      <c r="L24" s="743">
        <v>0</v>
      </c>
      <c r="M24" s="743">
        <v>0</v>
      </c>
      <c r="N24" s="109">
        <f t="shared" si="2"/>
        <v>565112861.14438534</v>
      </c>
      <c r="O24" s="755">
        <v>1267136000</v>
      </c>
      <c r="P24" s="743">
        <v>1266052000</v>
      </c>
      <c r="Q24" s="745">
        <v>975844360</v>
      </c>
    </row>
    <row r="25" spans="1:17" ht="12.75" customHeight="1" x14ac:dyDescent="0.2">
      <c r="A25" s="40" t="s">
        <v>933</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952</v>
      </c>
      <c r="B26" s="41"/>
      <c r="C26" s="763">
        <v>0</v>
      </c>
      <c r="D26" s="743">
        <v>0</v>
      </c>
      <c r="E26" s="743">
        <v>0</v>
      </c>
      <c r="F26" s="743">
        <v>0</v>
      </c>
      <c r="G26" s="743">
        <v>0</v>
      </c>
      <c r="H26" s="743">
        <v>0</v>
      </c>
      <c r="I26" s="743">
        <v>0</v>
      </c>
      <c r="J26" s="743">
        <v>0</v>
      </c>
      <c r="K26" s="743">
        <v>0</v>
      </c>
      <c r="L26" s="743">
        <v>0</v>
      </c>
      <c r="M26" s="743">
        <v>0</v>
      </c>
      <c r="N26" s="109">
        <f t="shared" si="2"/>
        <v>0</v>
      </c>
      <c r="O26" s="755">
        <v>0</v>
      </c>
      <c r="P26" s="743">
        <v>0</v>
      </c>
      <c r="Q26" s="745">
        <v>0</v>
      </c>
    </row>
    <row r="27" spans="1:17" ht="12.75" customHeight="1" x14ac:dyDescent="0.2">
      <c r="A27" s="40" t="s">
        <v>929</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988</v>
      </c>
      <c r="B28" s="41"/>
      <c r="C28" s="763">
        <v>0</v>
      </c>
      <c r="D28" s="743">
        <v>-632116.77</v>
      </c>
      <c r="E28" s="743">
        <v>-632116.76999999979</v>
      </c>
      <c r="F28" s="743">
        <v>-632116.77000000025</v>
      </c>
      <c r="G28" s="743">
        <v>-610319.63999999966</v>
      </c>
      <c r="H28" s="743">
        <v>0</v>
      </c>
      <c r="I28" s="743">
        <v>0</v>
      </c>
      <c r="J28" s="743">
        <v>0</v>
      </c>
      <c r="K28" s="743">
        <v>0</v>
      </c>
      <c r="L28" s="743">
        <v>0</v>
      </c>
      <c r="M28" s="743">
        <v>0</v>
      </c>
      <c r="N28" s="109">
        <f t="shared" si="2"/>
        <v>302506669.94999999</v>
      </c>
      <c r="O28" s="755">
        <v>300000000</v>
      </c>
      <c r="P28" s="743">
        <v>65000000</v>
      </c>
      <c r="Q28" s="745">
        <v>65000000</v>
      </c>
    </row>
    <row r="29" spans="1:17" ht="12.75" customHeight="1" x14ac:dyDescent="0.2">
      <c r="A29" s="40" t="s">
        <v>861</v>
      </c>
      <c r="B29" s="41"/>
      <c r="C29" s="763">
        <v>0</v>
      </c>
      <c r="D29" s="743">
        <v>67693.199999928474</v>
      </c>
      <c r="E29" s="743">
        <v>-328316.36999994516</v>
      </c>
      <c r="F29" s="743">
        <v>-146242.87</v>
      </c>
      <c r="G29" s="743">
        <v>-521856.96000008285</v>
      </c>
      <c r="H29" s="743">
        <v>0</v>
      </c>
      <c r="I29" s="743">
        <v>0</v>
      </c>
      <c r="J29" s="743">
        <v>0</v>
      </c>
      <c r="K29" s="743">
        <v>0</v>
      </c>
      <c r="L29" s="743">
        <v>0</v>
      </c>
      <c r="M29" s="743">
        <v>0</v>
      </c>
      <c r="N29" s="109">
        <f t="shared" si="2"/>
        <v>928723.00000009954</v>
      </c>
      <c r="O29" s="755">
        <v>0</v>
      </c>
      <c r="P29" s="743"/>
      <c r="Q29" s="745"/>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c r="Q30" s="745"/>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c r="Q31" s="745"/>
    </row>
    <row r="32" spans="1:17" ht="12.75" customHeight="1" x14ac:dyDescent="0.2">
      <c r="A32" s="40" t="s">
        <v>75</v>
      </c>
      <c r="B32" s="41"/>
      <c r="C32" s="763">
        <v>118393141.01000001</v>
      </c>
      <c r="D32" s="743">
        <v>0</v>
      </c>
      <c r="E32" s="743">
        <v>0</v>
      </c>
      <c r="F32" s="743">
        <v>0</v>
      </c>
      <c r="G32" s="743">
        <v>0</v>
      </c>
      <c r="H32" s="743">
        <v>0</v>
      </c>
      <c r="I32" s="743">
        <v>0</v>
      </c>
      <c r="J32" s="743">
        <v>0</v>
      </c>
      <c r="K32" s="743">
        <v>0</v>
      </c>
      <c r="L32" s="743">
        <v>0</v>
      </c>
      <c r="M32" s="743">
        <v>0</v>
      </c>
      <c r="N32" s="109">
        <f t="shared" si="2"/>
        <v>-118393141.01000001</v>
      </c>
      <c r="O32" s="755">
        <v>0</v>
      </c>
      <c r="P32" s="743">
        <v>0</v>
      </c>
      <c r="Q32" s="745">
        <v>0</v>
      </c>
    </row>
    <row r="33" spans="1:17" ht="12.75" customHeight="1" x14ac:dyDescent="0.2">
      <c r="A33" s="321" t="s">
        <v>946</v>
      </c>
      <c r="B33" s="322"/>
      <c r="C33" s="261">
        <f t="shared" ref="C33:Q33" si="3">SUM(C21:C32)</f>
        <v>857480251.46000004</v>
      </c>
      <c r="D33" s="74">
        <f t="shared" si="3"/>
        <v>320209679.04999995</v>
      </c>
      <c r="E33" s="74">
        <f t="shared" si="3"/>
        <v>230388082.16000006</v>
      </c>
      <c r="F33" s="74">
        <f t="shared" si="3"/>
        <v>269266625.06999999</v>
      </c>
      <c r="G33" s="74">
        <f t="shared" si="3"/>
        <v>539168372.95000017</v>
      </c>
      <c r="H33" s="74">
        <f t="shared" si="3"/>
        <v>0</v>
      </c>
      <c r="I33" s="74">
        <f t="shared" si="3"/>
        <v>0</v>
      </c>
      <c r="J33" s="74">
        <f t="shared" si="3"/>
        <v>0</v>
      </c>
      <c r="K33" s="74">
        <f t="shared" si="3"/>
        <v>0</v>
      </c>
      <c r="L33" s="74">
        <f t="shared" si="3"/>
        <v>0</v>
      </c>
      <c r="M33" s="74">
        <f t="shared" si="3"/>
        <v>0</v>
      </c>
      <c r="N33" s="323">
        <f t="shared" si="3"/>
        <v>2873729109.3099995</v>
      </c>
      <c r="O33" s="75">
        <f t="shared" si="3"/>
        <v>5090242120</v>
      </c>
      <c r="P33" s="74">
        <f t="shared" si="3"/>
        <v>5003699240</v>
      </c>
      <c r="Q33" s="146">
        <f t="shared" si="3"/>
        <v>4998540000</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
      <c r="A36" s="40" t="s">
        <v>866</v>
      </c>
      <c r="B36" s="41"/>
      <c r="C36" s="763">
        <v>66737389.729999997</v>
      </c>
      <c r="D36" s="743">
        <v>71495657.640000015</v>
      </c>
      <c r="E36" s="743">
        <v>76564945.070000023</v>
      </c>
      <c r="F36" s="743">
        <v>72621812.949999943</v>
      </c>
      <c r="G36" s="743">
        <v>69988557.760000065</v>
      </c>
      <c r="H36" s="743">
        <v>0</v>
      </c>
      <c r="I36" s="743">
        <v>0</v>
      </c>
      <c r="J36" s="743">
        <v>0</v>
      </c>
      <c r="K36" s="743">
        <v>0</v>
      </c>
      <c r="L36" s="743">
        <v>0</v>
      </c>
      <c r="M36" s="743">
        <v>0</v>
      </c>
      <c r="N36" s="109">
        <f t="shared" si="4"/>
        <v>561021057.8499999</v>
      </c>
      <c r="O36" s="755">
        <v>918429421</v>
      </c>
      <c r="P36" s="743">
        <v>976585428</v>
      </c>
      <c r="Q36" s="745">
        <v>1038294000</v>
      </c>
    </row>
    <row r="37" spans="1:17" ht="12.75" customHeight="1" x14ac:dyDescent="0.2">
      <c r="A37" s="40" t="s">
        <v>489</v>
      </c>
      <c r="B37" s="41"/>
      <c r="C37" s="763">
        <v>3220210.82</v>
      </c>
      <c r="D37" s="743">
        <v>3159634.04</v>
      </c>
      <c r="E37" s="743">
        <v>6311341.4100000001</v>
      </c>
      <c r="F37" s="743">
        <v>3148682.07</v>
      </c>
      <c r="G37" s="743">
        <v>3232173.23</v>
      </c>
      <c r="H37" s="743">
        <v>0</v>
      </c>
      <c r="I37" s="743">
        <v>0</v>
      </c>
      <c r="J37" s="743">
        <v>0</v>
      </c>
      <c r="K37" s="743">
        <v>0</v>
      </c>
      <c r="L37" s="743">
        <v>0</v>
      </c>
      <c r="M37" s="743">
        <v>0</v>
      </c>
      <c r="N37" s="109">
        <f t="shared" si="4"/>
        <v>21027958.43</v>
      </c>
      <c r="O37" s="755">
        <v>40100000</v>
      </c>
      <c r="P37" s="743">
        <v>42511000</v>
      </c>
      <c r="Q37" s="745">
        <v>45060000</v>
      </c>
    </row>
    <row r="38" spans="1:17" ht="12.75" customHeight="1" x14ac:dyDescent="0.2">
      <c r="A38" s="40" t="s">
        <v>868</v>
      </c>
      <c r="B38" s="41"/>
      <c r="C38" s="763">
        <v>32464062.57</v>
      </c>
      <c r="D38" s="743">
        <v>0</v>
      </c>
      <c r="E38" s="743">
        <v>0</v>
      </c>
      <c r="F38" s="743">
        <v>0</v>
      </c>
      <c r="G38" s="743">
        <v>0</v>
      </c>
      <c r="H38" s="743">
        <v>0</v>
      </c>
      <c r="I38" s="743">
        <v>0</v>
      </c>
      <c r="J38" s="743">
        <v>0</v>
      </c>
      <c r="K38" s="743">
        <v>0</v>
      </c>
      <c r="L38" s="743">
        <v>0</v>
      </c>
      <c r="M38" s="743">
        <v>0</v>
      </c>
      <c r="N38" s="109">
        <f t="shared" si="4"/>
        <v>52402571.43</v>
      </c>
      <c r="O38" s="755">
        <v>84866634</v>
      </c>
      <c r="P38" s="743">
        <v>114212332</v>
      </c>
      <c r="Q38" s="745">
        <v>116473528</v>
      </c>
    </row>
    <row r="39" spans="1:17" ht="12.75" customHeight="1" x14ac:dyDescent="0.2">
      <c r="A39" s="40" t="s">
        <v>945</v>
      </c>
      <c r="B39" s="41"/>
      <c r="C39" s="763">
        <v>90160964.450000003</v>
      </c>
      <c r="D39" s="743">
        <v>89134350.040000007</v>
      </c>
      <c r="E39" s="743">
        <v>61775535</v>
      </c>
      <c r="F39" s="743">
        <v>53773684.609999999</v>
      </c>
      <c r="G39" s="743">
        <v>55391071.119999997</v>
      </c>
      <c r="H39" s="743">
        <v>0</v>
      </c>
      <c r="I39" s="743">
        <v>0</v>
      </c>
      <c r="J39" s="743">
        <v>0</v>
      </c>
      <c r="K39" s="743">
        <v>0</v>
      </c>
      <c r="L39" s="743">
        <v>0</v>
      </c>
      <c r="M39" s="743">
        <v>0</v>
      </c>
      <c r="N39" s="109">
        <f t="shared" si="4"/>
        <v>386126594.77999997</v>
      </c>
      <c r="O39" s="755">
        <v>736362200</v>
      </c>
      <c r="P39" s="743">
        <v>809997734</v>
      </c>
      <c r="Q39" s="745">
        <v>900362199.24000013</v>
      </c>
    </row>
    <row r="40" spans="1:17" ht="12.75" customHeight="1" x14ac:dyDescent="0.2">
      <c r="A40" s="87" t="s">
        <v>948</v>
      </c>
      <c r="B40" s="41"/>
      <c r="C40" s="763">
        <v>18296875.210000001</v>
      </c>
      <c r="D40" s="743">
        <v>14724197.029999999</v>
      </c>
      <c r="E40" s="743">
        <v>17186729.710000001</v>
      </c>
      <c r="F40" s="743">
        <v>13445905.869999999</v>
      </c>
      <c r="G40" s="743">
        <v>15036077.65</v>
      </c>
      <c r="H40" s="743">
        <v>0</v>
      </c>
      <c r="I40" s="743">
        <v>0</v>
      </c>
      <c r="J40" s="743">
        <v>0</v>
      </c>
      <c r="K40" s="743">
        <v>0</v>
      </c>
      <c r="L40" s="743">
        <v>0</v>
      </c>
      <c r="M40" s="743">
        <v>0</v>
      </c>
      <c r="N40" s="109">
        <f t="shared" si="4"/>
        <v>134124074.53</v>
      </c>
      <c r="O40" s="755">
        <v>212813860</v>
      </c>
      <c r="P40" s="743">
        <v>234095246.00000003</v>
      </c>
      <c r="Q40" s="745">
        <v>248140960.76000002</v>
      </c>
    </row>
    <row r="41" spans="1:17" ht="12.75" customHeight="1" x14ac:dyDescent="0.2">
      <c r="A41" s="87" t="s">
        <v>950</v>
      </c>
      <c r="B41" s="41"/>
      <c r="C41" s="763">
        <v>0</v>
      </c>
      <c r="D41" s="743">
        <v>2752021.21</v>
      </c>
      <c r="E41" s="743">
        <v>3479882.2200000007</v>
      </c>
      <c r="F41" s="743">
        <v>3445952.1799999997</v>
      </c>
      <c r="G41" s="743">
        <v>5076892.9099999992</v>
      </c>
      <c r="H41" s="743">
        <v>0</v>
      </c>
      <c r="I41" s="743">
        <v>0</v>
      </c>
      <c r="J41" s="743">
        <v>0</v>
      </c>
      <c r="K41" s="743">
        <v>0</v>
      </c>
      <c r="L41" s="743">
        <v>0</v>
      </c>
      <c r="M41" s="743">
        <v>0</v>
      </c>
      <c r="N41" s="109">
        <f t="shared" si="4"/>
        <v>70576487.480000004</v>
      </c>
      <c r="O41" s="755">
        <v>85331236</v>
      </c>
      <c r="P41" s="743">
        <v>114556000</v>
      </c>
      <c r="Q41" s="745">
        <v>116824000</v>
      </c>
    </row>
    <row r="42" spans="1:17" ht="12.75" customHeight="1" x14ac:dyDescent="0.2">
      <c r="A42" s="87" t="s">
        <v>870</v>
      </c>
      <c r="B42" s="41"/>
      <c r="C42" s="763">
        <v>703715.47</v>
      </c>
      <c r="D42" s="743">
        <v>61350778.960000008</v>
      </c>
      <c r="E42" s="743">
        <v>53423253.480000004</v>
      </c>
      <c r="F42" s="743">
        <v>67025594.569999993</v>
      </c>
      <c r="G42" s="743">
        <v>71055255.200000003</v>
      </c>
      <c r="H42" s="743">
        <v>0</v>
      </c>
      <c r="I42" s="743">
        <v>0</v>
      </c>
      <c r="J42" s="743">
        <v>0</v>
      </c>
      <c r="K42" s="743">
        <v>0</v>
      </c>
      <c r="L42" s="743">
        <v>0</v>
      </c>
      <c r="M42" s="743">
        <v>0</v>
      </c>
      <c r="N42" s="109">
        <f t="shared" si="4"/>
        <v>501226234.31999999</v>
      </c>
      <c r="O42" s="755">
        <v>754784832</v>
      </c>
      <c r="P42" s="743">
        <v>761564432</v>
      </c>
      <c r="Q42" s="745">
        <v>801367663</v>
      </c>
    </row>
    <row r="43" spans="1:17" ht="12.75" customHeight="1" x14ac:dyDescent="0.2">
      <c r="A43" s="87" t="s">
        <v>954</v>
      </c>
      <c r="B43" s="41"/>
      <c r="C43" s="763">
        <v>0</v>
      </c>
      <c r="D43" s="743">
        <v>0</v>
      </c>
      <c r="E43" s="743">
        <v>0</v>
      </c>
      <c r="F43" s="743">
        <v>0</v>
      </c>
      <c r="G43" s="743">
        <v>0</v>
      </c>
      <c r="H43" s="743">
        <v>0</v>
      </c>
      <c r="I43" s="743">
        <v>0</v>
      </c>
      <c r="J43" s="743">
        <v>0</v>
      </c>
      <c r="K43" s="743">
        <v>0</v>
      </c>
      <c r="L43" s="743">
        <v>0</v>
      </c>
      <c r="M43" s="743">
        <v>0</v>
      </c>
      <c r="N43" s="109">
        <f t="shared" si="4"/>
        <v>0</v>
      </c>
      <c r="O43" s="755"/>
      <c r="P43" s="743"/>
      <c r="Q43" s="745"/>
    </row>
    <row r="44" spans="1:17" ht="12.75" customHeight="1" x14ac:dyDescent="0.2">
      <c r="A44" s="87" t="s">
        <v>955</v>
      </c>
      <c r="B44" s="41"/>
      <c r="C44" s="763">
        <v>1140000</v>
      </c>
      <c r="D44" s="743">
        <v>40000</v>
      </c>
      <c r="E44" s="743">
        <v>40000</v>
      </c>
      <c r="F44" s="743">
        <v>1140000</v>
      </c>
      <c r="G44" s="743">
        <v>580000</v>
      </c>
      <c r="H44" s="743">
        <v>0</v>
      </c>
      <c r="I44" s="743"/>
      <c r="J44" s="743">
        <v>0</v>
      </c>
      <c r="K44" s="743">
        <v>0</v>
      </c>
      <c r="L44" s="743">
        <v>0</v>
      </c>
      <c r="M44" s="743">
        <v>0</v>
      </c>
      <c r="N44" s="109">
        <f t="shared" si="4"/>
        <v>8560000</v>
      </c>
      <c r="O44" s="755">
        <v>11500000</v>
      </c>
      <c r="P44" s="743">
        <v>11500000</v>
      </c>
      <c r="Q44" s="745">
        <v>11500000</v>
      </c>
    </row>
    <row r="45" spans="1:17" ht="12.75" customHeight="1" x14ac:dyDescent="0.2">
      <c r="A45" s="87" t="s">
        <v>871</v>
      </c>
      <c r="B45" s="41"/>
      <c r="C45" s="763">
        <v>0</v>
      </c>
      <c r="D45" s="743">
        <v>63478183.719999984</v>
      </c>
      <c r="E45" s="743">
        <v>20283052.819999933</v>
      </c>
      <c r="F45" s="743">
        <v>19256746.75</v>
      </c>
      <c r="G45" s="743">
        <v>66126153.019999981</v>
      </c>
      <c r="H45" s="743">
        <v>0</v>
      </c>
      <c r="I45" s="743">
        <v>0</v>
      </c>
      <c r="J45" s="743">
        <v>0</v>
      </c>
      <c r="K45" s="743">
        <v>0</v>
      </c>
      <c r="L45" s="743">
        <v>0</v>
      </c>
      <c r="M45" s="743">
        <v>0</v>
      </c>
      <c r="N45" s="109">
        <f t="shared" si="4"/>
        <v>73948391.690000117</v>
      </c>
      <c r="O45" s="755">
        <v>243092528</v>
      </c>
      <c r="P45" s="743">
        <v>252282874</v>
      </c>
      <c r="Q45" s="745">
        <v>267776254</v>
      </c>
    </row>
    <row r="46" spans="1:17" ht="12.75" customHeight="1" x14ac:dyDescent="0.2">
      <c r="A46" s="89" t="s">
        <v>964</v>
      </c>
      <c r="B46" s="53">
        <f>SUM(B36:B45)</f>
        <v>0</v>
      </c>
      <c r="C46" s="478">
        <f>SUM(C36:C45)</f>
        <v>212723218.25</v>
      </c>
      <c r="D46" s="433">
        <f t="shared" ref="D46:Q46" si="5">SUM(D36:D45)</f>
        <v>306134822.64000005</v>
      </c>
      <c r="E46" s="433">
        <f t="shared" si="5"/>
        <v>239064739.70999998</v>
      </c>
      <c r="F46" s="433">
        <f t="shared" si="5"/>
        <v>233858378.99999994</v>
      </c>
      <c r="G46" s="433">
        <f t="shared" si="5"/>
        <v>286486180.89000005</v>
      </c>
      <c r="H46" s="433">
        <f t="shared" si="5"/>
        <v>0</v>
      </c>
      <c r="I46" s="433">
        <f t="shared" si="5"/>
        <v>0</v>
      </c>
      <c r="J46" s="433">
        <f t="shared" si="5"/>
        <v>0</v>
      </c>
      <c r="K46" s="433">
        <f t="shared" si="5"/>
        <v>0</v>
      </c>
      <c r="L46" s="433">
        <f t="shared" si="5"/>
        <v>0</v>
      </c>
      <c r="M46" s="433">
        <f t="shared" si="5"/>
        <v>0</v>
      </c>
      <c r="N46" s="511">
        <f t="shared" si="5"/>
        <v>1809013370.5099998</v>
      </c>
      <c r="O46" s="478">
        <f t="shared" si="5"/>
        <v>3087280711</v>
      </c>
      <c r="P46" s="433">
        <f t="shared" si="5"/>
        <v>3317305046</v>
      </c>
      <c r="Q46" s="516">
        <f t="shared" si="5"/>
        <v>3545798605.0000005</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688</v>
      </c>
      <c r="B48" s="41"/>
      <c r="C48" s="259"/>
      <c r="D48" s="45"/>
      <c r="E48" s="45"/>
      <c r="F48" s="45"/>
      <c r="G48" s="45"/>
      <c r="H48" s="45"/>
      <c r="I48" s="45"/>
      <c r="J48" s="45"/>
      <c r="K48" s="45"/>
      <c r="L48" s="45"/>
      <c r="M48" s="45"/>
      <c r="N48" s="109"/>
      <c r="O48" s="47"/>
      <c r="P48" s="45"/>
      <c r="Q48" s="145"/>
    </row>
    <row r="49" spans="1:17" ht="12.75" customHeight="1" x14ac:dyDescent="0.2">
      <c r="A49" s="87" t="s">
        <v>719</v>
      </c>
      <c r="B49" s="41"/>
      <c r="C49" s="763">
        <v>85297669.120000005</v>
      </c>
      <c r="D49" s="743">
        <v>45515291.329999998</v>
      </c>
      <c r="E49" s="743">
        <v>63024485</v>
      </c>
      <c r="F49" s="743">
        <f>98055360-34987056.688</f>
        <v>63068303.311999999</v>
      </c>
      <c r="G49" s="743">
        <v>124247725.67</v>
      </c>
      <c r="H49" s="743"/>
      <c r="I49" s="743">
        <v>0</v>
      </c>
      <c r="J49" s="743">
        <v>0</v>
      </c>
      <c r="K49" s="743"/>
      <c r="L49" s="743">
        <v>0</v>
      </c>
      <c r="M49" s="743">
        <v>0</v>
      </c>
      <c r="N49" s="109">
        <f>O49-SUM(C49:M49)</f>
        <v>1435226339.0079999</v>
      </c>
      <c r="O49" s="755">
        <v>1816379813.4399998</v>
      </c>
      <c r="P49" s="743">
        <v>1510582588.0799999</v>
      </c>
      <c r="Q49" s="745">
        <v>1237050917.5544</v>
      </c>
    </row>
    <row r="50" spans="1:17" ht="12.75" customHeight="1" x14ac:dyDescent="0.2">
      <c r="A50" s="87" t="s">
        <v>928</v>
      </c>
      <c r="B50" s="41"/>
      <c r="C50" s="763">
        <v>16428618.869999999</v>
      </c>
      <c r="D50" s="743">
        <v>0</v>
      </c>
      <c r="E50" s="743">
        <v>0</v>
      </c>
      <c r="F50" s="743">
        <v>0</v>
      </c>
      <c r="G50" s="743">
        <v>0</v>
      </c>
      <c r="H50" s="743"/>
      <c r="I50" s="743">
        <v>0</v>
      </c>
      <c r="J50" s="743">
        <v>0</v>
      </c>
      <c r="K50" s="743">
        <v>0</v>
      </c>
      <c r="L50" s="743">
        <v>0</v>
      </c>
      <c r="M50" s="743">
        <v>0</v>
      </c>
      <c r="N50" s="109">
        <f>O50-SUM(C50:M50)</f>
        <v>43571381.130000003</v>
      </c>
      <c r="O50" s="755">
        <v>60000000</v>
      </c>
      <c r="P50" s="743">
        <v>64205000</v>
      </c>
      <c r="Q50" s="745">
        <v>262760000</v>
      </c>
    </row>
    <row r="51" spans="1:17" ht="12.75" customHeight="1" x14ac:dyDescent="0.2">
      <c r="A51" s="87" t="s">
        <v>2</v>
      </c>
      <c r="B51" s="41"/>
      <c r="C51" s="763">
        <f>356009665.4+15154.2699974477</f>
        <v>356024819.66999739</v>
      </c>
      <c r="D51" s="743">
        <v>-42945703.180000007</v>
      </c>
      <c r="E51" s="743">
        <v>-74545348.130000025</v>
      </c>
      <c r="F51" s="743">
        <v>13869936.7079999</v>
      </c>
      <c r="G51" s="743">
        <v>-47476295.553333402</v>
      </c>
      <c r="H51" s="743">
        <v>0</v>
      </c>
      <c r="I51" s="743">
        <v>0</v>
      </c>
      <c r="J51" s="743">
        <v>0</v>
      </c>
      <c r="K51" s="743">
        <v>0</v>
      </c>
      <c r="L51" s="743">
        <v>0</v>
      </c>
      <c r="M51" s="743">
        <v>0</v>
      </c>
      <c r="N51" s="109">
        <f>O51-SUM(C51:M51)</f>
        <v>-84927409.514663875</v>
      </c>
      <c r="O51" s="755">
        <v>120000000</v>
      </c>
      <c r="P51" s="743">
        <v>30000000</v>
      </c>
      <c r="Q51" s="745">
        <v>30000000</v>
      </c>
    </row>
    <row r="52" spans="1:17" ht="12.75" customHeight="1" x14ac:dyDescent="0.2">
      <c r="A52" s="321" t="s">
        <v>947</v>
      </c>
      <c r="B52" s="322">
        <f t="shared" ref="B52:Q52" si="6">SUM(B46:B51)</f>
        <v>0</v>
      </c>
      <c r="C52" s="261">
        <f t="shared" si="6"/>
        <v>670474325.90999746</v>
      </c>
      <c r="D52" s="74">
        <f t="shared" si="6"/>
        <v>308704410.79000002</v>
      </c>
      <c r="E52" s="74">
        <f t="shared" si="6"/>
        <v>227543876.57999995</v>
      </c>
      <c r="F52" s="74">
        <f t="shared" si="6"/>
        <v>310796619.0199998</v>
      </c>
      <c r="G52" s="74">
        <f t="shared" si="6"/>
        <v>363257611.00666666</v>
      </c>
      <c r="H52" s="74">
        <f t="shared" si="6"/>
        <v>0</v>
      </c>
      <c r="I52" s="74">
        <f t="shared" si="6"/>
        <v>0</v>
      </c>
      <c r="J52" s="74">
        <f t="shared" si="6"/>
        <v>0</v>
      </c>
      <c r="K52" s="74">
        <f t="shared" si="6"/>
        <v>0</v>
      </c>
      <c r="L52" s="74">
        <f t="shared" si="6"/>
        <v>0</v>
      </c>
      <c r="M52" s="74">
        <f t="shared" si="6"/>
        <v>0</v>
      </c>
      <c r="N52" s="323">
        <f t="shared" si="6"/>
        <v>3202883681.1333361</v>
      </c>
      <c r="O52" s="75">
        <f t="shared" si="6"/>
        <v>5083660524.4399996</v>
      </c>
      <c r="P52" s="74">
        <f t="shared" si="6"/>
        <v>4922092634.0799999</v>
      </c>
      <c r="Q52" s="146">
        <f t="shared" si="6"/>
        <v>5075609522.5544004</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593</v>
      </c>
      <c r="B54" s="182">
        <f t="shared" ref="B54:Q54" si="7">B33-B52</f>
        <v>0</v>
      </c>
      <c r="C54" s="260">
        <f t="shared" si="7"/>
        <v>187005925.55000257</v>
      </c>
      <c r="D54" s="51">
        <f t="shared" si="7"/>
        <v>11505268.259999931</v>
      </c>
      <c r="E54" s="51">
        <f t="shared" si="7"/>
        <v>2844205.5800001025</v>
      </c>
      <c r="F54" s="51">
        <f t="shared" si="7"/>
        <v>-41529993.949999809</v>
      </c>
      <c r="G54" s="51">
        <f t="shared" si="7"/>
        <v>175910761.94333351</v>
      </c>
      <c r="H54" s="51">
        <f t="shared" si="7"/>
        <v>0</v>
      </c>
      <c r="I54" s="51">
        <f t="shared" si="7"/>
        <v>0</v>
      </c>
      <c r="J54" s="51">
        <f t="shared" si="7"/>
        <v>0</v>
      </c>
      <c r="K54" s="51">
        <f t="shared" si="7"/>
        <v>0</v>
      </c>
      <c r="L54" s="51">
        <f t="shared" si="7"/>
        <v>0</v>
      </c>
      <c r="M54" s="51">
        <f t="shared" si="7"/>
        <v>0</v>
      </c>
      <c r="N54" s="111">
        <f t="shared" si="7"/>
        <v>-329154571.8233366</v>
      </c>
      <c r="O54" s="52">
        <f t="shared" si="7"/>
        <v>6581595.5600004196</v>
      </c>
      <c r="P54" s="51">
        <f t="shared" si="7"/>
        <v>81606605.920000076</v>
      </c>
      <c r="Q54" s="195">
        <f t="shared" si="7"/>
        <v>-77069522.554400444</v>
      </c>
    </row>
    <row r="55" spans="1:17" ht="12.75" customHeight="1" x14ac:dyDescent="0.2">
      <c r="A55" s="87" t="s">
        <v>587</v>
      </c>
      <c r="B55" s="41"/>
      <c r="C55" s="763">
        <v>61635083.999997444</v>
      </c>
      <c r="D55" s="45">
        <f>C56</f>
        <v>248641009.55000001</v>
      </c>
      <c r="E55" s="45">
        <f t="shared" ref="E55:N55" si="8">D56</f>
        <v>260146277.80999994</v>
      </c>
      <c r="F55" s="45">
        <f t="shared" si="8"/>
        <v>262990483.39000005</v>
      </c>
      <c r="G55" s="45">
        <f t="shared" si="8"/>
        <v>221460489.44000024</v>
      </c>
      <c r="H55" s="45">
        <f t="shared" si="8"/>
        <v>397371251.38333374</v>
      </c>
      <c r="I55" s="45">
        <f t="shared" si="8"/>
        <v>397371251.38333374</v>
      </c>
      <c r="J55" s="45">
        <f t="shared" si="8"/>
        <v>397371251.38333374</v>
      </c>
      <c r="K55" s="45">
        <f t="shared" si="8"/>
        <v>397371251.38333374</v>
      </c>
      <c r="L55" s="45">
        <f t="shared" si="8"/>
        <v>397371251.38333374</v>
      </c>
      <c r="M55" s="45">
        <f t="shared" si="8"/>
        <v>397371251.38333374</v>
      </c>
      <c r="N55" s="109">
        <f t="shared" si="8"/>
        <v>397371251.38333374</v>
      </c>
      <c r="O55" s="47">
        <f>C55</f>
        <v>61635083.999997444</v>
      </c>
      <c r="P55" s="45">
        <f>O56</f>
        <v>68216679.559997857</v>
      </c>
      <c r="Q55" s="145">
        <f>P56</f>
        <v>149823285.47999793</v>
      </c>
    </row>
    <row r="56" spans="1:17" ht="12.75" customHeight="1" x14ac:dyDescent="0.2">
      <c r="A56" s="324" t="s">
        <v>689</v>
      </c>
      <c r="B56" s="177"/>
      <c r="C56" s="302">
        <f>C54+C55</f>
        <v>248641009.55000001</v>
      </c>
      <c r="D56" s="116">
        <f>D54+D55</f>
        <v>260146277.80999994</v>
      </c>
      <c r="E56" s="116">
        <f t="shared" ref="E56:N56" si="9">E54+E55</f>
        <v>262990483.39000005</v>
      </c>
      <c r="F56" s="116">
        <f t="shared" si="9"/>
        <v>221460489.44000024</v>
      </c>
      <c r="G56" s="116">
        <f t="shared" si="9"/>
        <v>397371251.38333374</v>
      </c>
      <c r="H56" s="116">
        <f t="shared" si="9"/>
        <v>397371251.38333374</v>
      </c>
      <c r="I56" s="116">
        <f t="shared" si="9"/>
        <v>397371251.38333374</v>
      </c>
      <c r="J56" s="116">
        <f t="shared" si="9"/>
        <v>397371251.38333374</v>
      </c>
      <c r="K56" s="116">
        <f t="shared" si="9"/>
        <v>397371251.38333374</v>
      </c>
      <c r="L56" s="116">
        <f t="shared" si="9"/>
        <v>397371251.38333374</v>
      </c>
      <c r="M56" s="116">
        <f t="shared" si="9"/>
        <v>397371251.38333374</v>
      </c>
      <c r="N56" s="320">
        <f t="shared" si="9"/>
        <v>68216679.559997141</v>
      </c>
      <c r="O56" s="117">
        <f>O54+O55</f>
        <v>68216679.559997857</v>
      </c>
      <c r="P56" s="116">
        <f>P54+P55</f>
        <v>149823285.47999793</v>
      </c>
      <c r="Q56" s="191">
        <f>Q54+Q55</f>
        <v>72753762.925597489</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239064739.70999998</v>
      </c>
      <c r="F65" s="86">
        <f t="shared" si="10"/>
        <v>233858378.99999994</v>
      </c>
      <c r="G65" s="86">
        <f t="shared" si="10"/>
        <v>286486180.89000005</v>
      </c>
      <c r="H65" s="86">
        <f t="shared" si="10"/>
        <v>0</v>
      </c>
      <c r="I65" s="86">
        <f t="shared" si="10"/>
        <v>0</v>
      </c>
      <c r="J65" s="86">
        <f t="shared" si="10"/>
        <v>0</v>
      </c>
      <c r="K65" s="86">
        <f t="shared" si="10"/>
        <v>0</v>
      </c>
      <c r="L65" s="86">
        <f t="shared" si="10"/>
        <v>0</v>
      </c>
      <c r="M65" s="86"/>
      <c r="N65" s="86">
        <f>N46+N64</f>
        <v>1809013370.5099998</v>
      </c>
      <c r="O65" s="86">
        <f t="shared" si="10"/>
        <v>3087280711</v>
      </c>
      <c r="P65" s="86">
        <f t="shared" si="10"/>
        <v>3317305046</v>
      </c>
    </row>
    <row r="66" spans="5:16" x14ac:dyDescent="0.2">
      <c r="E66" s="86">
        <f t="shared" ref="E66:P66" si="11">E54-E64</f>
        <v>2844205.5800001025</v>
      </c>
      <c r="F66" s="86">
        <f t="shared" si="11"/>
        <v>-41529993.949999809</v>
      </c>
      <c r="G66" s="86">
        <f t="shared" si="11"/>
        <v>175910761.94333351</v>
      </c>
      <c r="H66" s="86">
        <f t="shared" si="11"/>
        <v>0</v>
      </c>
      <c r="I66" s="86">
        <f t="shared" si="11"/>
        <v>0</v>
      </c>
      <c r="J66" s="86">
        <f t="shared" si="11"/>
        <v>0</v>
      </c>
      <c r="K66" s="86">
        <f t="shared" si="11"/>
        <v>0</v>
      </c>
      <c r="L66" s="86">
        <f t="shared" si="11"/>
        <v>0</v>
      </c>
      <c r="M66" s="86">
        <f>M54-M64</f>
        <v>0</v>
      </c>
      <c r="N66" s="86">
        <f>N54-N64</f>
        <v>-329154571.8233366</v>
      </c>
      <c r="O66" s="86">
        <f t="shared" si="11"/>
        <v>6581595.5600004196</v>
      </c>
      <c r="P66" s="86">
        <f t="shared" si="11"/>
        <v>81606605.920000076</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9" type="noConversion"/>
  <printOptions horizontalCentered="1"/>
  <pageMargins left="0.55000000000000004" right="0.19685039370078741" top="0.52" bottom="0.23" header="0.51181102362204722" footer="0.21"/>
  <pageSetup paperSize="9" scale="8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23" activePane="bottomRight" state="frozen"/>
      <selection pane="topRight"/>
      <selection pane="bottomLeft"/>
      <selection pane="bottomRight" activeCell="L39" sqref="K39:L40"/>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"&amp;S71P&amp; " - "&amp;Head57</f>
        <v>LIM354 Polokwane - NOT REQUIRED - municipality does not have entities or this is the parent municipality's budget - M05 November</v>
      </c>
      <c r="B1" s="1042"/>
      <c r="C1" s="1042"/>
      <c r="D1" s="1042"/>
      <c r="E1" s="1042"/>
      <c r="F1" s="1042"/>
      <c r="G1" s="1042"/>
      <c r="H1" s="1042"/>
      <c r="I1" s="1042"/>
      <c r="J1" s="1042"/>
      <c r="K1" s="1042"/>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687</v>
      </c>
      <c r="B4" s="249">
        <v>1</v>
      </c>
      <c r="C4" s="295"/>
      <c r="D4" s="296"/>
      <c r="E4" s="297"/>
      <c r="F4" s="298"/>
      <c r="G4" s="298"/>
      <c r="H4" s="298"/>
      <c r="I4" s="298"/>
      <c r="J4" s="299" t="s">
        <v>594</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c r="D6" s="755"/>
      <c r="E6" s="743"/>
      <c r="F6" s="743"/>
      <c r="G6" s="743"/>
      <c r="H6" s="743">
        <f>D6/12*4</f>
        <v>0</v>
      </c>
      <c r="I6" s="45">
        <f t="shared" ref="I6:I21" si="0">G6-H6</f>
        <v>0</v>
      </c>
      <c r="J6" s="333" t="str">
        <f>IF(I6=0,"",I6/H6)</f>
        <v/>
      </c>
      <c r="K6" s="745">
        <f>D6</f>
        <v>0</v>
      </c>
    </row>
    <row r="7" spans="1:11" ht="12.75" customHeight="1" x14ac:dyDescent="0.2">
      <c r="A7" s="40" t="str">
        <f>'C4-FinPerf RE'!A7</f>
        <v>Service charges - electricity revenue</v>
      </c>
      <c r="B7" s="170"/>
      <c r="C7" s="758"/>
      <c r="D7" s="755"/>
      <c r="E7" s="743"/>
      <c r="F7" s="743"/>
      <c r="G7" s="743"/>
      <c r="H7" s="743">
        <f t="shared" ref="H7:H20" si="1">D7/12*4</f>
        <v>0</v>
      </c>
      <c r="I7" s="45">
        <f t="shared" si="0"/>
        <v>0</v>
      </c>
      <c r="J7" s="333" t="str">
        <f t="shared" ref="J7:J22" si="2">IF(I7=0,"",I7/H7)</f>
        <v/>
      </c>
      <c r="K7" s="745">
        <f t="shared" ref="K7:K20" si="3">D7</f>
        <v>0</v>
      </c>
    </row>
    <row r="8" spans="1:11" ht="12.75" customHeight="1" x14ac:dyDescent="0.2">
      <c r="A8" s="87" t="str">
        <f>'C4-FinPerf RE'!A8</f>
        <v>Service charges - water revenue</v>
      </c>
      <c r="B8" s="172"/>
      <c r="C8" s="758"/>
      <c r="D8" s="755"/>
      <c r="E8" s="743"/>
      <c r="F8" s="743"/>
      <c r="G8" s="743"/>
      <c r="H8" s="743">
        <f t="shared" si="1"/>
        <v>0</v>
      </c>
      <c r="I8" s="45">
        <f t="shared" si="0"/>
        <v>0</v>
      </c>
      <c r="J8" s="333" t="str">
        <f t="shared" si="2"/>
        <v/>
      </c>
      <c r="K8" s="745">
        <f t="shared" si="3"/>
        <v>0</v>
      </c>
    </row>
    <row r="9" spans="1:11" ht="12.75" customHeight="1" x14ac:dyDescent="0.2">
      <c r="A9" s="87" t="str">
        <f>'C4-FinPerf RE'!A9</f>
        <v>Service charges - sanitation revenue</v>
      </c>
      <c r="B9" s="172"/>
      <c r="C9" s="758"/>
      <c r="D9" s="755"/>
      <c r="E9" s="743"/>
      <c r="F9" s="743"/>
      <c r="G9" s="743"/>
      <c r="H9" s="743">
        <f t="shared" si="1"/>
        <v>0</v>
      </c>
      <c r="I9" s="45">
        <f t="shared" si="0"/>
        <v>0</v>
      </c>
      <c r="J9" s="333" t="str">
        <f t="shared" si="2"/>
        <v/>
      </c>
      <c r="K9" s="745">
        <f t="shared" si="3"/>
        <v>0</v>
      </c>
    </row>
    <row r="10" spans="1:11" ht="12.75" customHeight="1" x14ac:dyDescent="0.2">
      <c r="A10" s="87" t="str">
        <f>'C4-FinPerf RE'!A10</f>
        <v>Service charges - refuse revenue</v>
      </c>
      <c r="B10" s="172"/>
      <c r="C10" s="758"/>
      <c r="D10" s="755"/>
      <c r="E10" s="743"/>
      <c r="F10" s="743"/>
      <c r="G10" s="743"/>
      <c r="H10" s="743">
        <f t="shared" si="1"/>
        <v>0</v>
      </c>
      <c r="I10" s="45">
        <f t="shared" si="0"/>
        <v>0</v>
      </c>
      <c r="J10" s="333" t="str">
        <f t="shared" si="2"/>
        <v/>
      </c>
      <c r="K10" s="745">
        <f t="shared" si="3"/>
        <v>0</v>
      </c>
    </row>
    <row r="11" spans="1:11" ht="12.75" customHeight="1" x14ac:dyDescent="0.2">
      <c r="A11" s="87" t="str">
        <f>'C4-FinPerf RE'!A11</f>
        <v>Service charges - other</v>
      </c>
      <c r="B11" s="172"/>
      <c r="C11" s="758"/>
      <c r="D11" s="755"/>
      <c r="E11" s="743"/>
      <c r="F11" s="743"/>
      <c r="G11" s="743"/>
      <c r="H11" s="743">
        <f t="shared" si="1"/>
        <v>0</v>
      </c>
      <c r="I11" s="45">
        <f t="shared" si="0"/>
        <v>0</v>
      </c>
      <c r="J11" s="333" t="str">
        <f t="shared" si="2"/>
        <v/>
      </c>
      <c r="K11" s="745">
        <f t="shared" si="3"/>
        <v>0</v>
      </c>
    </row>
    <row r="12" spans="1:11" ht="12.75" customHeight="1" x14ac:dyDescent="0.2">
      <c r="A12" s="87" t="str">
        <f>'C4-FinPerf RE'!A12</f>
        <v>Rental of facilities and equipment</v>
      </c>
      <c r="B12" s="172"/>
      <c r="C12" s="758"/>
      <c r="D12" s="755"/>
      <c r="E12" s="743"/>
      <c r="F12" s="743"/>
      <c r="G12" s="743"/>
      <c r="H12" s="743">
        <f t="shared" si="1"/>
        <v>0</v>
      </c>
      <c r="I12" s="45">
        <f t="shared" si="0"/>
        <v>0</v>
      </c>
      <c r="J12" s="333" t="str">
        <f t="shared" si="2"/>
        <v/>
      </c>
      <c r="K12" s="745">
        <f t="shared" si="3"/>
        <v>0</v>
      </c>
    </row>
    <row r="13" spans="1:11" ht="12.75" customHeight="1" x14ac:dyDescent="0.2">
      <c r="A13" s="87" t="str">
        <f>'C4-FinPerf RE'!A13</f>
        <v>Interest earned - external investments</v>
      </c>
      <c r="B13" s="172"/>
      <c r="C13" s="758"/>
      <c r="D13" s="755"/>
      <c r="E13" s="743"/>
      <c r="F13" s="743"/>
      <c r="G13" s="743"/>
      <c r="H13" s="743">
        <f t="shared" si="1"/>
        <v>0</v>
      </c>
      <c r="I13" s="45">
        <f t="shared" si="0"/>
        <v>0</v>
      </c>
      <c r="J13" s="333" t="str">
        <f t="shared" si="2"/>
        <v/>
      </c>
      <c r="K13" s="745">
        <f t="shared" si="3"/>
        <v>0</v>
      </c>
    </row>
    <row r="14" spans="1:11" ht="12.75" customHeight="1" x14ac:dyDescent="0.2">
      <c r="A14" s="87" t="str">
        <f>'C4-FinPerf RE'!A14</f>
        <v>Interest earned - outstanding debtors</v>
      </c>
      <c r="B14" s="172"/>
      <c r="C14" s="758"/>
      <c r="D14" s="755"/>
      <c r="E14" s="743"/>
      <c r="F14" s="743"/>
      <c r="G14" s="743"/>
      <c r="H14" s="743">
        <f t="shared" si="1"/>
        <v>0</v>
      </c>
      <c r="I14" s="45">
        <f t="shared" si="0"/>
        <v>0</v>
      </c>
      <c r="J14" s="333" t="str">
        <f t="shared" si="2"/>
        <v/>
      </c>
      <c r="K14" s="745">
        <f t="shared" si="3"/>
        <v>0</v>
      </c>
    </row>
    <row r="15" spans="1:11" ht="12.75" customHeight="1" x14ac:dyDescent="0.2">
      <c r="A15" s="87" t="str">
        <f>'C4-FinPerf RE'!A15</f>
        <v>Dividends received</v>
      </c>
      <c r="B15" s="172"/>
      <c r="C15" s="758"/>
      <c r="D15" s="755"/>
      <c r="E15" s="743"/>
      <c r="F15" s="743"/>
      <c r="G15" s="743"/>
      <c r="H15" s="743">
        <f t="shared" si="1"/>
        <v>0</v>
      </c>
      <c r="I15" s="45">
        <f t="shared" si="0"/>
        <v>0</v>
      </c>
      <c r="J15" s="333" t="str">
        <f t="shared" si="2"/>
        <v/>
      </c>
      <c r="K15" s="745">
        <f t="shared" si="3"/>
        <v>0</v>
      </c>
    </row>
    <row r="16" spans="1:11" ht="12.75" customHeight="1" x14ac:dyDescent="0.2">
      <c r="A16" s="87" t="str">
        <f>'C4-FinPerf RE'!A16</f>
        <v>Fines, penalties and forfeits</v>
      </c>
      <c r="B16" s="172"/>
      <c r="C16" s="758"/>
      <c r="D16" s="755"/>
      <c r="E16" s="743"/>
      <c r="F16" s="743"/>
      <c r="G16" s="743"/>
      <c r="H16" s="743">
        <f t="shared" si="1"/>
        <v>0</v>
      </c>
      <c r="I16" s="45">
        <f t="shared" si="0"/>
        <v>0</v>
      </c>
      <c r="J16" s="333" t="str">
        <f t="shared" si="2"/>
        <v/>
      </c>
      <c r="K16" s="745">
        <f t="shared" si="3"/>
        <v>0</v>
      </c>
    </row>
    <row r="17" spans="1:11" ht="12.75" customHeight="1" x14ac:dyDescent="0.2">
      <c r="A17" s="87" t="str">
        <f>'C4-FinPerf RE'!A17</f>
        <v>Licences and permits</v>
      </c>
      <c r="B17" s="172"/>
      <c r="C17" s="758"/>
      <c r="D17" s="755"/>
      <c r="E17" s="743"/>
      <c r="F17" s="743"/>
      <c r="G17" s="743"/>
      <c r="H17" s="743">
        <f t="shared" si="1"/>
        <v>0</v>
      </c>
      <c r="I17" s="45">
        <f t="shared" si="0"/>
        <v>0</v>
      </c>
      <c r="J17" s="333" t="str">
        <f t="shared" si="2"/>
        <v/>
      </c>
      <c r="K17" s="745">
        <f t="shared" si="3"/>
        <v>0</v>
      </c>
    </row>
    <row r="18" spans="1:11" ht="12.75" customHeight="1" x14ac:dyDescent="0.2">
      <c r="A18" s="87" t="str">
        <f>'C4-FinPerf RE'!A18</f>
        <v>Agency services</v>
      </c>
      <c r="B18" s="172"/>
      <c r="C18" s="758"/>
      <c r="D18" s="755"/>
      <c r="E18" s="743"/>
      <c r="F18" s="743"/>
      <c r="G18" s="743"/>
      <c r="H18" s="743">
        <f t="shared" si="1"/>
        <v>0</v>
      </c>
      <c r="I18" s="45">
        <f t="shared" si="0"/>
        <v>0</v>
      </c>
      <c r="J18" s="333" t="str">
        <f t="shared" si="2"/>
        <v/>
      </c>
      <c r="K18" s="745">
        <f t="shared" si="3"/>
        <v>0</v>
      </c>
    </row>
    <row r="19" spans="1:11" ht="12.75" customHeight="1" x14ac:dyDescent="0.2">
      <c r="A19" s="87" t="str">
        <f>'C4-FinPerf RE'!A19</f>
        <v>Transfers and subsidies</v>
      </c>
      <c r="B19" s="172"/>
      <c r="C19" s="758"/>
      <c r="D19" s="755"/>
      <c r="E19" s="743"/>
      <c r="F19" s="743"/>
      <c r="G19" s="743"/>
      <c r="H19" s="743">
        <f t="shared" si="1"/>
        <v>0</v>
      </c>
      <c r="I19" s="45">
        <f t="shared" si="0"/>
        <v>0</v>
      </c>
      <c r="J19" s="333" t="str">
        <f t="shared" si="2"/>
        <v/>
      </c>
      <c r="K19" s="745">
        <f t="shared" si="3"/>
        <v>0</v>
      </c>
    </row>
    <row r="20" spans="1:11" ht="12.75" customHeight="1" x14ac:dyDescent="0.2">
      <c r="A20" s="87" t="str">
        <f>'C4-FinPerf RE'!A20</f>
        <v>Other revenue</v>
      </c>
      <c r="B20" s="172"/>
      <c r="C20" s="758"/>
      <c r="D20" s="755"/>
      <c r="E20" s="743"/>
      <c r="F20" s="743"/>
      <c r="G20" s="743"/>
      <c r="H20" s="743">
        <f t="shared" si="1"/>
        <v>0</v>
      </c>
      <c r="I20" s="45">
        <f t="shared" si="0"/>
        <v>0</v>
      </c>
      <c r="J20" s="333" t="str">
        <f t="shared" si="2"/>
        <v/>
      </c>
      <c r="K20" s="745">
        <f t="shared" si="3"/>
        <v>0</v>
      </c>
    </row>
    <row r="21" spans="1:11" ht="12.75" customHeight="1" x14ac:dyDescent="0.2">
      <c r="A21" s="40" t="str">
        <f>'C4-FinPerf RE'!A21</f>
        <v>Gains on disposal of PPE</v>
      </c>
      <c r="B21" s="170"/>
      <c r="C21" s="758"/>
      <c r="D21" s="755"/>
      <c r="E21" s="743"/>
      <c r="F21" s="743"/>
      <c r="G21" s="743"/>
      <c r="H21" s="743">
        <f t="shared" ref="H21" si="4">D21/12*3</f>
        <v>0</v>
      </c>
      <c r="I21" s="45">
        <f t="shared" si="0"/>
        <v>0</v>
      </c>
      <c r="J21" s="333" t="str">
        <f t="shared" si="2"/>
        <v/>
      </c>
      <c r="K21" s="745"/>
    </row>
    <row r="22" spans="1:11" ht="12.75" customHeight="1" x14ac:dyDescent="0.2">
      <c r="A22" s="551" t="s">
        <v>140</v>
      </c>
      <c r="B22" s="551"/>
      <c r="C22" s="244">
        <f t="shared" ref="C22:H22" si="5">SUM(C6:C21)</f>
        <v>0</v>
      </c>
      <c r="D22" s="75">
        <f t="shared" si="5"/>
        <v>0</v>
      </c>
      <c r="E22" s="74">
        <f t="shared" si="5"/>
        <v>0</v>
      </c>
      <c r="F22" s="74">
        <f t="shared" si="5"/>
        <v>0</v>
      </c>
      <c r="G22" s="74">
        <f t="shared" si="5"/>
        <v>0</v>
      </c>
      <c r="H22" s="74">
        <f t="shared" si="5"/>
        <v>0</v>
      </c>
      <c r="I22" s="74">
        <f>G22-H22</f>
        <v>0</v>
      </c>
      <c r="J22" s="334" t="str">
        <f t="shared" si="2"/>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500</v>
      </c>
      <c r="B24" s="176"/>
      <c r="C24" s="135"/>
      <c r="D24" s="47"/>
      <c r="E24" s="45"/>
      <c r="F24" s="45"/>
      <c r="G24" s="45"/>
      <c r="H24" s="45"/>
      <c r="I24" s="45"/>
      <c r="J24" s="333"/>
      <c r="K24" s="145"/>
    </row>
    <row r="25" spans="1:11" ht="12.75" customHeight="1" x14ac:dyDescent="0.2">
      <c r="A25" s="40" t="str">
        <f>'C4-FinPerf RE'!A25</f>
        <v>Employee related costs</v>
      </c>
      <c r="B25" s="172"/>
      <c r="C25" s="758"/>
      <c r="D25" s="755"/>
      <c r="E25" s="743"/>
      <c r="F25" s="743"/>
      <c r="G25" s="743"/>
      <c r="H25" s="743">
        <f t="shared" ref="H25:H35" si="6">D25/12*3</f>
        <v>0</v>
      </c>
      <c r="I25" s="45">
        <f t="shared" ref="I25:I44" si="7">G25-H25</f>
        <v>0</v>
      </c>
      <c r="J25" s="333" t="str">
        <f t="shared" ref="J25:J44" si="8">IF(I25=0,"",I25/H25)</f>
        <v/>
      </c>
      <c r="K25" s="745">
        <f>D25</f>
        <v>0</v>
      </c>
    </row>
    <row r="26" spans="1:11" ht="12.75" customHeight="1" x14ac:dyDescent="0.2">
      <c r="A26" s="40" t="str">
        <f>'C4-FinPerf RE'!A26</f>
        <v>Remuneration of councillors</v>
      </c>
      <c r="B26" s="170"/>
      <c r="C26" s="758"/>
      <c r="D26" s="755"/>
      <c r="E26" s="743"/>
      <c r="F26" s="743"/>
      <c r="G26" s="743"/>
      <c r="H26" s="743">
        <f t="shared" si="6"/>
        <v>0</v>
      </c>
      <c r="I26" s="45">
        <f t="shared" si="7"/>
        <v>0</v>
      </c>
      <c r="J26" s="333" t="str">
        <f t="shared" si="8"/>
        <v/>
      </c>
      <c r="K26" s="745">
        <f t="shared" ref="K26:K34" si="9">D26</f>
        <v>0</v>
      </c>
    </row>
    <row r="27" spans="1:11" ht="12.75" customHeight="1" x14ac:dyDescent="0.2">
      <c r="A27" s="40" t="str">
        <f>'C4-FinPerf RE'!A27</f>
        <v>Debt impairment</v>
      </c>
      <c r="B27" s="172"/>
      <c r="C27" s="758"/>
      <c r="D27" s="755"/>
      <c r="E27" s="743"/>
      <c r="F27" s="743"/>
      <c r="G27" s="743"/>
      <c r="H27" s="743">
        <f t="shared" si="6"/>
        <v>0</v>
      </c>
      <c r="I27" s="45">
        <f t="shared" si="7"/>
        <v>0</v>
      </c>
      <c r="J27" s="333" t="str">
        <f t="shared" si="8"/>
        <v/>
      </c>
      <c r="K27" s="745">
        <f t="shared" si="9"/>
        <v>0</v>
      </c>
    </row>
    <row r="28" spans="1:11" ht="12.75" customHeight="1" x14ac:dyDescent="0.2">
      <c r="A28" s="40" t="str">
        <f>'C4-FinPerf RE'!A28</f>
        <v>Depreciation &amp; asset impairment</v>
      </c>
      <c r="B28" s="172"/>
      <c r="C28" s="758"/>
      <c r="D28" s="755"/>
      <c r="E28" s="743"/>
      <c r="F28" s="743"/>
      <c r="G28" s="743"/>
      <c r="H28" s="743">
        <f t="shared" si="6"/>
        <v>0</v>
      </c>
      <c r="I28" s="45">
        <f t="shared" si="7"/>
        <v>0</v>
      </c>
      <c r="J28" s="333" t="str">
        <f t="shared" si="8"/>
        <v/>
      </c>
      <c r="K28" s="745">
        <f t="shared" si="9"/>
        <v>0</v>
      </c>
    </row>
    <row r="29" spans="1:11" ht="12.75" customHeight="1" x14ac:dyDescent="0.2">
      <c r="A29" s="40" t="str">
        <f>'C4-FinPerf RE'!A29</f>
        <v>Finance charges</v>
      </c>
      <c r="B29" s="172"/>
      <c r="C29" s="758"/>
      <c r="D29" s="755"/>
      <c r="E29" s="743"/>
      <c r="F29" s="743"/>
      <c r="G29" s="743"/>
      <c r="H29" s="743">
        <f t="shared" si="6"/>
        <v>0</v>
      </c>
      <c r="I29" s="45">
        <f t="shared" si="7"/>
        <v>0</v>
      </c>
      <c r="J29" s="333" t="str">
        <f t="shared" si="8"/>
        <v/>
      </c>
      <c r="K29" s="745">
        <f t="shared" si="9"/>
        <v>0</v>
      </c>
    </row>
    <row r="30" spans="1:11" ht="12.75" customHeight="1" x14ac:dyDescent="0.2">
      <c r="A30" s="40" t="str">
        <f>'C4-FinPerf RE'!A30</f>
        <v>Bulk purchases</v>
      </c>
      <c r="B30" s="172"/>
      <c r="C30" s="758"/>
      <c r="D30" s="755"/>
      <c r="E30" s="743"/>
      <c r="F30" s="743"/>
      <c r="G30" s="743"/>
      <c r="H30" s="743">
        <f t="shared" si="6"/>
        <v>0</v>
      </c>
      <c r="I30" s="45">
        <f t="shared" si="7"/>
        <v>0</v>
      </c>
      <c r="J30" s="333" t="str">
        <f t="shared" si="8"/>
        <v/>
      </c>
      <c r="K30" s="745">
        <f t="shared" si="9"/>
        <v>0</v>
      </c>
    </row>
    <row r="31" spans="1:11" ht="12.75" customHeight="1" x14ac:dyDescent="0.2">
      <c r="A31" s="40" t="str">
        <f>'C4-FinPerf RE'!A31</f>
        <v>Other materials</v>
      </c>
      <c r="B31" s="172"/>
      <c r="C31" s="758"/>
      <c r="D31" s="755"/>
      <c r="E31" s="743"/>
      <c r="F31" s="743"/>
      <c r="G31" s="743"/>
      <c r="H31" s="743">
        <f t="shared" si="6"/>
        <v>0</v>
      </c>
      <c r="I31" s="45">
        <f t="shared" si="7"/>
        <v>0</v>
      </c>
      <c r="J31" s="333" t="str">
        <f t="shared" si="8"/>
        <v/>
      </c>
      <c r="K31" s="745">
        <f t="shared" si="9"/>
        <v>0</v>
      </c>
    </row>
    <row r="32" spans="1:11" ht="12.75" customHeight="1" x14ac:dyDescent="0.2">
      <c r="A32" s="40" t="str">
        <f>'C4-FinPerf RE'!A32</f>
        <v>Contracted services</v>
      </c>
      <c r="B32" s="172"/>
      <c r="C32" s="758"/>
      <c r="D32" s="755"/>
      <c r="E32" s="743"/>
      <c r="F32" s="743"/>
      <c r="G32" s="743"/>
      <c r="H32" s="743">
        <f t="shared" si="6"/>
        <v>0</v>
      </c>
      <c r="I32" s="45">
        <f t="shared" si="7"/>
        <v>0</v>
      </c>
      <c r="J32" s="333" t="str">
        <f t="shared" si="8"/>
        <v/>
      </c>
      <c r="K32" s="745">
        <f t="shared" si="9"/>
        <v>0</v>
      </c>
    </row>
    <row r="33" spans="1:11" ht="12.75" customHeight="1" x14ac:dyDescent="0.2">
      <c r="A33" s="40" t="str">
        <f>'C4-FinPerf RE'!A33</f>
        <v>Transfers and subsidies</v>
      </c>
      <c r="B33" s="172"/>
      <c r="C33" s="758"/>
      <c r="D33" s="755"/>
      <c r="E33" s="743"/>
      <c r="F33" s="743"/>
      <c r="G33" s="743"/>
      <c r="H33" s="743">
        <f t="shared" si="6"/>
        <v>0</v>
      </c>
      <c r="I33" s="45">
        <f t="shared" si="7"/>
        <v>0</v>
      </c>
      <c r="J33" s="333" t="str">
        <f t="shared" si="8"/>
        <v/>
      </c>
      <c r="K33" s="745">
        <f t="shared" si="9"/>
        <v>0</v>
      </c>
    </row>
    <row r="34" spans="1:11" ht="12.75" customHeight="1" x14ac:dyDescent="0.2">
      <c r="A34" s="40" t="str">
        <f>'C4-FinPerf RE'!A34</f>
        <v>Other expenditure</v>
      </c>
      <c r="B34" s="172"/>
      <c r="C34" s="758"/>
      <c r="D34" s="755"/>
      <c r="E34" s="743"/>
      <c r="F34" s="743"/>
      <c r="G34" s="743"/>
      <c r="H34" s="743">
        <f t="shared" si="6"/>
        <v>0</v>
      </c>
      <c r="I34" s="45">
        <f t="shared" si="7"/>
        <v>0</v>
      </c>
      <c r="J34" s="333" t="str">
        <f t="shared" si="8"/>
        <v/>
      </c>
      <c r="K34" s="745">
        <f t="shared" si="9"/>
        <v>0</v>
      </c>
    </row>
    <row r="35" spans="1:11" ht="12.75" customHeight="1" x14ac:dyDescent="0.2">
      <c r="A35" s="40" t="str">
        <f>'C4-FinPerf RE'!A35</f>
        <v>Loss on disposal of PPE</v>
      </c>
      <c r="B35" s="170"/>
      <c r="C35" s="758"/>
      <c r="D35" s="755"/>
      <c r="E35" s="743"/>
      <c r="F35" s="743"/>
      <c r="G35" s="743"/>
      <c r="H35" s="743">
        <f t="shared" si="6"/>
        <v>0</v>
      </c>
      <c r="I35" s="45">
        <f t="shared" si="7"/>
        <v>0</v>
      </c>
      <c r="J35" s="333" t="str">
        <f t="shared" si="8"/>
        <v/>
      </c>
      <c r="K35" s="745"/>
    </row>
    <row r="36" spans="1:11" ht="12.75" customHeight="1" x14ac:dyDescent="0.2">
      <c r="A36" s="353" t="s">
        <v>501</v>
      </c>
      <c r="B36" s="578"/>
      <c r="C36" s="244">
        <f t="shared" ref="C36:H36" si="10">SUM(C25:C35)</f>
        <v>0</v>
      </c>
      <c r="D36" s="75">
        <f t="shared" si="10"/>
        <v>0</v>
      </c>
      <c r="E36" s="74">
        <f t="shared" si="10"/>
        <v>0</v>
      </c>
      <c r="F36" s="74">
        <f t="shared" si="10"/>
        <v>0</v>
      </c>
      <c r="G36" s="74">
        <f t="shared" si="10"/>
        <v>0</v>
      </c>
      <c r="H36" s="74">
        <f t="shared" si="10"/>
        <v>0</v>
      </c>
      <c r="I36" s="74">
        <f t="shared" si="7"/>
        <v>0</v>
      </c>
      <c r="J36" s="334" t="str">
        <f t="shared" si="8"/>
        <v/>
      </c>
      <c r="K36" s="146">
        <f>SUM(K25:K35)</f>
        <v>0</v>
      </c>
    </row>
    <row r="37" spans="1:11" ht="5.0999999999999996" customHeight="1" x14ac:dyDescent="0.2">
      <c r="A37" s="43"/>
      <c r="B37" s="170"/>
      <c r="C37" s="135"/>
      <c r="D37" s="47"/>
      <c r="E37" s="45"/>
      <c r="F37" s="45"/>
      <c r="G37" s="45"/>
      <c r="H37" s="45"/>
      <c r="I37" s="45">
        <f t="shared" si="7"/>
        <v>0</v>
      </c>
      <c r="J37" s="333"/>
      <c r="K37" s="145"/>
    </row>
    <row r="38" spans="1:11" ht="12.75" customHeight="1" x14ac:dyDescent="0.2">
      <c r="A38" s="88" t="str">
        <f>'C4-FinPerf RE'!A38</f>
        <v>Surplus/(Deficit)</v>
      </c>
      <c r="B38" s="170"/>
      <c r="C38" s="135">
        <f t="shared" ref="C38:H38" si="11">C22-C36</f>
        <v>0</v>
      </c>
      <c r="D38" s="47">
        <f t="shared" si="11"/>
        <v>0</v>
      </c>
      <c r="E38" s="45">
        <f t="shared" si="11"/>
        <v>0</v>
      </c>
      <c r="F38" s="45">
        <f t="shared" si="11"/>
        <v>0</v>
      </c>
      <c r="G38" s="45">
        <f t="shared" si="11"/>
        <v>0</v>
      </c>
      <c r="H38" s="45">
        <f t="shared" si="11"/>
        <v>0</v>
      </c>
      <c r="I38" s="45">
        <f t="shared" si="7"/>
        <v>0</v>
      </c>
      <c r="J38" s="333" t="str">
        <f t="shared" si="8"/>
        <v/>
      </c>
      <c r="K38" s="145">
        <f>K22-K36</f>
        <v>0</v>
      </c>
    </row>
    <row r="39" spans="1:11" ht="21.6" customHeight="1" x14ac:dyDescent="0.2">
      <c r="A39" s="112" t="str">
        <f>'C4-FinPerf RE'!A39</f>
        <v>Transfers and subsidies - capital (monetary allocations) (National / Provincial and District)</v>
      </c>
      <c r="B39" s="170"/>
      <c r="C39" s="758"/>
      <c r="D39" s="755"/>
      <c r="E39" s="743"/>
      <c r="F39" s="743"/>
      <c r="G39" s="743"/>
      <c r="H39" s="743">
        <f t="shared" ref="H39:H41" si="12">D39/12*3</f>
        <v>0</v>
      </c>
      <c r="I39" s="45">
        <f t="shared" si="7"/>
        <v>0</v>
      </c>
      <c r="J39" s="333" t="str">
        <f t="shared" si="8"/>
        <v/>
      </c>
      <c r="K39" s="745">
        <v>0</v>
      </c>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f t="shared" si="12"/>
        <v>0</v>
      </c>
      <c r="I40" s="45">
        <f t="shared" si="7"/>
        <v>0</v>
      </c>
      <c r="J40" s="333" t="str">
        <f t="shared" si="8"/>
        <v/>
      </c>
      <c r="K40" s="745">
        <f t="shared" ref="K40" si="13">E40</f>
        <v>0</v>
      </c>
    </row>
    <row r="41" spans="1:11" ht="12.75" customHeight="1" x14ac:dyDescent="0.2">
      <c r="A41" s="40" t="str">
        <f>'C4-FinPerf RE'!A41</f>
        <v xml:space="preserve">Transfers and subsidies - capital (in-kind - all) </v>
      </c>
      <c r="B41" s="170"/>
      <c r="C41" s="758"/>
      <c r="D41" s="755"/>
      <c r="E41" s="743"/>
      <c r="F41" s="743"/>
      <c r="G41" s="743"/>
      <c r="H41" s="743">
        <f t="shared" si="12"/>
        <v>0</v>
      </c>
      <c r="I41" s="45">
        <f t="shared" si="7"/>
        <v>0</v>
      </c>
      <c r="J41" s="333" t="str">
        <f t="shared" si="8"/>
        <v/>
      </c>
      <c r="K41" s="745">
        <v>0</v>
      </c>
    </row>
    <row r="42" spans="1:11" x14ac:dyDescent="0.2">
      <c r="A42" s="579" t="str">
        <f>'C4-FinPerf RE'!A42</f>
        <v>Surplus/(Deficit) after capital transfers &amp; contributions</v>
      </c>
      <c r="B42" s="312"/>
      <c r="C42" s="580">
        <f>C38+SUM(C39:C41)</f>
        <v>0</v>
      </c>
      <c r="D42" s="581">
        <f t="shared" ref="D42:K42" si="14">D38+SUM(D39:D41)</f>
        <v>0</v>
      </c>
      <c r="E42" s="517">
        <f t="shared" si="14"/>
        <v>0</v>
      </c>
      <c r="F42" s="517">
        <f t="shared" si="14"/>
        <v>0</v>
      </c>
      <c r="G42" s="517">
        <f t="shared" si="14"/>
        <v>0</v>
      </c>
      <c r="H42" s="517">
        <f t="shared" si="14"/>
        <v>0</v>
      </c>
      <c r="I42" s="517">
        <f t="shared" si="7"/>
        <v>0</v>
      </c>
      <c r="J42" s="518" t="str">
        <f t="shared" si="8"/>
        <v/>
      </c>
      <c r="K42" s="582">
        <f t="shared" si="14"/>
        <v>0</v>
      </c>
    </row>
    <row r="43" spans="1:11" ht="12.75" customHeight="1" x14ac:dyDescent="0.2">
      <c r="A43" s="112" t="str">
        <f>'C4-FinPerf RE'!A43</f>
        <v>Taxation</v>
      </c>
      <c r="B43" s="170"/>
      <c r="C43" s="758"/>
      <c r="D43" s="755"/>
      <c r="E43" s="743"/>
      <c r="F43" s="743"/>
      <c r="G43" s="743"/>
      <c r="H43" s="743"/>
      <c r="I43" s="45">
        <f t="shared" si="7"/>
        <v>0</v>
      </c>
      <c r="J43" s="333" t="str">
        <f t="shared" si="8"/>
        <v/>
      </c>
      <c r="K43" s="745"/>
    </row>
    <row r="44" spans="1:11" ht="12.75" customHeight="1" x14ac:dyDescent="0.2">
      <c r="A44" s="54" t="str">
        <f>'C4-FinPerf RE'!A44</f>
        <v>Surplus/(Deficit) after taxation</v>
      </c>
      <c r="B44" s="237"/>
      <c r="C44" s="113">
        <f t="shared" ref="C44:H44" si="15">C42-C43</f>
        <v>0</v>
      </c>
      <c r="D44" s="57">
        <f t="shared" si="15"/>
        <v>0</v>
      </c>
      <c r="E44" s="56">
        <f t="shared" si="15"/>
        <v>0</v>
      </c>
      <c r="F44" s="56">
        <f t="shared" si="15"/>
        <v>0</v>
      </c>
      <c r="G44" s="56">
        <f t="shared" si="15"/>
        <v>0</v>
      </c>
      <c r="H44" s="56">
        <f t="shared" si="15"/>
        <v>0</v>
      </c>
      <c r="I44" s="56">
        <f t="shared" si="7"/>
        <v>0</v>
      </c>
      <c r="J44" s="335" t="str">
        <f t="shared" si="8"/>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645</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7" top="0.79" bottom="0.6" header="0.51181102362204722" footer="0.39"/>
  <pageSetup paperSize="9" scale="8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N32" sqref="N32"/>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2" t="str">
        <f>muni&amp; " - "&amp;S71Q&amp; " - "&amp;Head57</f>
        <v>LIM354 Polokwane - NOT REQUIRED - municipality does not have entities or this is the parent municipality's budget - M05 November</v>
      </c>
      <c r="B1" s="1042"/>
      <c r="C1" s="1042"/>
      <c r="D1" s="1042"/>
      <c r="E1" s="1042"/>
      <c r="F1" s="1042"/>
      <c r="G1" s="1042"/>
      <c r="H1" s="1042"/>
      <c r="I1" s="1042"/>
      <c r="J1" s="1042"/>
      <c r="K1" s="1042"/>
    </row>
    <row r="2" spans="1:11" x14ac:dyDescent="0.2">
      <c r="A2" s="1031" t="str">
        <f>desc</f>
        <v>Description</v>
      </c>
      <c r="B2" s="1024" t="str">
        <f>head27</f>
        <v>Ref</v>
      </c>
      <c r="C2" s="159" t="str">
        <f>Head1</f>
        <v>2018/19</v>
      </c>
      <c r="D2" s="1026" t="str">
        <f>Head2</f>
        <v>Budget Year 2019/20</v>
      </c>
      <c r="E2" s="1027"/>
      <c r="F2" s="1027"/>
      <c r="G2" s="1027"/>
      <c r="H2" s="1027"/>
      <c r="I2" s="1027"/>
      <c r="J2" s="1027"/>
      <c r="K2" s="1028"/>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687</v>
      </c>
      <c r="B4" s="249"/>
      <c r="C4" s="295"/>
      <c r="D4" s="301"/>
      <c r="E4" s="297"/>
      <c r="F4" s="298"/>
      <c r="G4" s="298"/>
      <c r="H4" s="298"/>
      <c r="I4" s="298"/>
      <c r="J4" s="299" t="s">
        <v>594</v>
      </c>
      <c r="K4" s="300"/>
    </row>
    <row r="5" spans="1:11" ht="12.75" customHeight="1" x14ac:dyDescent="0.2">
      <c r="A5" s="137" t="s">
        <v>571</v>
      </c>
      <c r="B5" s="170"/>
      <c r="C5" s="135"/>
      <c r="D5" s="259"/>
      <c r="E5" s="45"/>
      <c r="F5" s="45"/>
      <c r="G5" s="45"/>
      <c r="H5" s="45"/>
      <c r="I5" s="45"/>
      <c r="J5" s="45"/>
      <c r="K5" s="145"/>
    </row>
    <row r="6" spans="1:11" ht="12.75" customHeight="1" x14ac:dyDescent="0.2">
      <c r="A6" s="803" t="s">
        <v>1456</v>
      </c>
      <c r="B6" s="170"/>
      <c r="C6" s="758"/>
      <c r="D6" s="763"/>
      <c r="E6" s="743"/>
      <c r="F6" s="743"/>
      <c r="G6" s="743"/>
      <c r="H6" s="743">
        <f t="shared" ref="H6:H15" si="0">D6/12*3</f>
        <v>0</v>
      </c>
      <c r="I6" s="45">
        <f t="shared" ref="I6:I41" si="1">G6-H6</f>
        <v>0</v>
      </c>
      <c r="J6" s="333" t="str">
        <f>IF(I6=0,"",I6/H6)</f>
        <v/>
      </c>
      <c r="K6" s="745"/>
    </row>
    <row r="7" spans="1:11" ht="12.75" customHeight="1" x14ac:dyDescent="0.2">
      <c r="A7" s="786" t="s">
        <v>1457</v>
      </c>
      <c r="B7" s="170"/>
      <c r="C7" s="758"/>
      <c r="D7" s="763"/>
      <c r="E7" s="743"/>
      <c r="F7" s="743"/>
      <c r="G7" s="743"/>
      <c r="H7" s="743"/>
      <c r="I7" s="45">
        <f t="shared" si="1"/>
        <v>0</v>
      </c>
      <c r="J7" s="333" t="str">
        <f t="shared" ref="J7:J16" si="2">IF(I7=0,"",I7/H7)</f>
        <v/>
      </c>
      <c r="K7" s="745"/>
    </row>
    <row r="8" spans="1:11" ht="12.75" customHeight="1" x14ac:dyDescent="0.2">
      <c r="A8" s="786" t="s">
        <v>1458</v>
      </c>
      <c r="B8" s="170"/>
      <c r="C8" s="758"/>
      <c r="D8" s="763"/>
      <c r="E8" s="743"/>
      <c r="F8" s="743"/>
      <c r="G8" s="743"/>
      <c r="H8" s="743"/>
      <c r="I8" s="45">
        <f t="shared" si="1"/>
        <v>0</v>
      </c>
      <c r="J8" s="333" t="str">
        <f t="shared" si="2"/>
        <v/>
      </c>
      <c r="K8" s="745"/>
    </row>
    <row r="9" spans="1:11" ht="12.75" customHeight="1" x14ac:dyDescent="0.2">
      <c r="A9" s="786" t="s">
        <v>1459</v>
      </c>
      <c r="B9" s="170"/>
      <c r="C9" s="758"/>
      <c r="D9" s="763"/>
      <c r="E9" s="743"/>
      <c r="F9" s="743"/>
      <c r="G9" s="743"/>
      <c r="H9" s="743"/>
      <c r="I9" s="45">
        <f t="shared" si="1"/>
        <v>0</v>
      </c>
      <c r="J9" s="333" t="str">
        <f t="shared" si="2"/>
        <v/>
      </c>
      <c r="K9" s="745"/>
    </row>
    <row r="10" spans="1:11" ht="12.75" customHeight="1" x14ac:dyDescent="0.2">
      <c r="A10" s="786"/>
      <c r="B10" s="170"/>
      <c r="C10" s="758"/>
      <c r="D10" s="763"/>
      <c r="E10" s="743"/>
      <c r="F10" s="743"/>
      <c r="G10" s="743"/>
      <c r="H10" s="743"/>
      <c r="I10" s="45">
        <f t="shared" si="1"/>
        <v>0</v>
      </c>
      <c r="J10" s="333" t="str">
        <f t="shared" si="2"/>
        <v/>
      </c>
      <c r="K10" s="745"/>
    </row>
    <row r="11" spans="1:11" ht="12.75" customHeight="1" x14ac:dyDescent="0.2">
      <c r="A11" s="786"/>
      <c r="B11" s="170"/>
      <c r="C11" s="758"/>
      <c r="D11" s="763"/>
      <c r="E11" s="743"/>
      <c r="F11" s="743"/>
      <c r="G11" s="743"/>
      <c r="H11" s="743"/>
      <c r="I11" s="45">
        <f t="shared" si="1"/>
        <v>0</v>
      </c>
      <c r="J11" s="333" t="str">
        <f t="shared" si="2"/>
        <v/>
      </c>
      <c r="K11" s="745"/>
    </row>
    <row r="12" spans="1:11" ht="12.75" customHeight="1" x14ac:dyDescent="0.2">
      <c r="A12" s="786"/>
      <c r="B12" s="170"/>
      <c r="C12" s="758"/>
      <c r="D12" s="763"/>
      <c r="E12" s="743"/>
      <c r="F12" s="743"/>
      <c r="G12" s="743"/>
      <c r="H12" s="743"/>
      <c r="I12" s="45">
        <f t="shared" si="1"/>
        <v>0</v>
      </c>
      <c r="J12" s="333" t="str">
        <f t="shared" si="2"/>
        <v/>
      </c>
      <c r="K12" s="745"/>
    </row>
    <row r="13" spans="1:11" ht="12.75" customHeight="1" x14ac:dyDescent="0.2">
      <c r="A13" s="786"/>
      <c r="B13" s="170"/>
      <c r="C13" s="758"/>
      <c r="D13" s="763"/>
      <c r="E13" s="743"/>
      <c r="F13" s="743"/>
      <c r="G13" s="743"/>
      <c r="H13" s="743">
        <f t="shared" si="0"/>
        <v>0</v>
      </c>
      <c r="I13" s="45">
        <f t="shared" si="1"/>
        <v>0</v>
      </c>
      <c r="J13" s="333" t="str">
        <f t="shared" si="2"/>
        <v/>
      </c>
      <c r="K13" s="745"/>
    </row>
    <row r="14" spans="1:11" ht="12.75" customHeight="1" x14ac:dyDescent="0.2">
      <c r="A14" s="786"/>
      <c r="B14" s="170"/>
      <c r="C14" s="758"/>
      <c r="D14" s="763"/>
      <c r="E14" s="743"/>
      <c r="F14" s="743"/>
      <c r="G14" s="743"/>
      <c r="H14" s="743">
        <f t="shared" si="0"/>
        <v>0</v>
      </c>
      <c r="I14" s="45">
        <f t="shared" si="1"/>
        <v>0</v>
      </c>
      <c r="J14" s="333" t="str">
        <f t="shared" si="2"/>
        <v/>
      </c>
      <c r="K14" s="745"/>
    </row>
    <row r="15" spans="1:11" ht="12.75" customHeight="1" x14ac:dyDescent="0.2">
      <c r="A15" s="786"/>
      <c r="B15" s="170"/>
      <c r="C15" s="758"/>
      <c r="D15" s="763"/>
      <c r="E15" s="743"/>
      <c r="F15" s="743"/>
      <c r="G15" s="743"/>
      <c r="H15" s="743">
        <f t="shared" si="0"/>
        <v>0</v>
      </c>
      <c r="I15" s="45">
        <f t="shared" si="1"/>
        <v>0</v>
      </c>
      <c r="J15" s="333" t="str">
        <f t="shared" si="2"/>
        <v/>
      </c>
      <c r="K15" s="745"/>
    </row>
    <row r="16" spans="1:11" ht="12.75" customHeight="1" x14ac:dyDescent="0.2">
      <c r="A16" s="93" t="s">
        <v>559</v>
      </c>
      <c r="B16" s="234">
        <v>1</v>
      </c>
      <c r="C16" s="244">
        <f t="shared" ref="C16:H16" si="3">SUM(C6:C15)</f>
        <v>0</v>
      </c>
      <c r="D16" s="261">
        <f t="shared" si="3"/>
        <v>0</v>
      </c>
      <c r="E16" s="74">
        <f t="shared" si="3"/>
        <v>0</v>
      </c>
      <c r="F16" s="74">
        <f t="shared" si="3"/>
        <v>0</v>
      </c>
      <c r="G16" s="74">
        <f t="shared" si="3"/>
        <v>0</v>
      </c>
      <c r="H16" s="74">
        <f t="shared" si="3"/>
        <v>0</v>
      </c>
      <c r="I16" s="74">
        <f t="shared" si="1"/>
        <v>0</v>
      </c>
      <c r="J16" s="334" t="str">
        <f t="shared" si="2"/>
        <v/>
      </c>
      <c r="K16" s="146">
        <f>SUM(K6:K15)</f>
        <v>0</v>
      </c>
    </row>
    <row r="17" spans="1:11" ht="5.0999999999999996" customHeight="1" x14ac:dyDescent="0.2">
      <c r="A17" s="43"/>
      <c r="B17" s="170"/>
      <c r="C17" s="135"/>
      <c r="D17" s="259"/>
      <c r="E17" s="45"/>
      <c r="F17" s="45"/>
      <c r="G17" s="45"/>
      <c r="H17" s="45"/>
      <c r="I17" s="45"/>
      <c r="J17" s="333"/>
      <c r="K17" s="145"/>
    </row>
    <row r="18" spans="1:11" ht="12.75" customHeight="1" x14ac:dyDescent="0.2">
      <c r="A18" s="36" t="s">
        <v>570</v>
      </c>
      <c r="B18" s="176"/>
      <c r="C18" s="135"/>
      <c r="D18" s="259"/>
      <c r="E18" s="45"/>
      <c r="F18" s="45"/>
      <c r="G18" s="45"/>
      <c r="H18" s="45"/>
      <c r="I18" s="45"/>
      <c r="J18" s="333"/>
      <c r="K18" s="145"/>
    </row>
    <row r="19" spans="1:11" ht="12.75" customHeight="1" x14ac:dyDescent="0.2">
      <c r="A19" s="803" t="str">
        <f>A6</f>
        <v>Polokwane Housing Association</v>
      </c>
      <c r="B19" s="172"/>
      <c r="C19" s="758"/>
      <c r="D19" s="763"/>
      <c r="E19" s="743"/>
      <c r="F19" s="743"/>
      <c r="G19" s="743"/>
      <c r="H19" s="743">
        <f t="shared" ref="H19" si="4">D19/12*3</f>
        <v>0</v>
      </c>
      <c r="I19" s="45">
        <f t="shared" si="1"/>
        <v>0</v>
      </c>
      <c r="J19" s="333" t="str">
        <f t="shared" ref="J19:J43" si="5">IF(I19=0,"",I19/H19)</f>
        <v/>
      </c>
      <c r="K19" s="745"/>
    </row>
    <row r="20" spans="1:11" ht="12.75" customHeight="1" x14ac:dyDescent="0.2">
      <c r="A20" s="786" t="s">
        <v>487</v>
      </c>
      <c r="B20" s="172"/>
      <c r="C20" s="758"/>
      <c r="D20" s="763"/>
      <c r="E20" s="743"/>
      <c r="F20" s="743"/>
      <c r="G20" s="743"/>
      <c r="H20" s="743"/>
      <c r="I20" s="45">
        <f t="shared" si="1"/>
        <v>0</v>
      </c>
      <c r="J20" s="333" t="str">
        <f t="shared" si="5"/>
        <v/>
      </c>
      <c r="K20" s="745"/>
    </row>
    <row r="21" spans="1:11" ht="12.75" customHeight="1" x14ac:dyDescent="0.2">
      <c r="A21" s="786" t="s">
        <v>1462</v>
      </c>
      <c r="B21" s="172"/>
      <c r="C21" s="758"/>
      <c r="D21" s="763"/>
      <c r="E21" s="743"/>
      <c r="F21" s="743"/>
      <c r="G21" s="743"/>
      <c r="H21" s="743"/>
      <c r="I21" s="45">
        <f t="shared" si="1"/>
        <v>0</v>
      </c>
      <c r="J21" s="333" t="str">
        <f t="shared" si="5"/>
        <v/>
      </c>
      <c r="K21" s="745"/>
    </row>
    <row r="22" spans="1:11" ht="12.75" customHeight="1" x14ac:dyDescent="0.2">
      <c r="A22" s="786" t="s">
        <v>1460</v>
      </c>
      <c r="B22" s="172"/>
      <c r="C22" s="758"/>
      <c r="D22" s="763"/>
      <c r="E22" s="743"/>
      <c r="F22" s="743"/>
      <c r="G22" s="743"/>
      <c r="H22" s="980"/>
      <c r="I22" s="45">
        <f t="shared" si="1"/>
        <v>0</v>
      </c>
      <c r="J22" s="333" t="str">
        <f t="shared" si="5"/>
        <v/>
      </c>
      <c r="K22" s="745"/>
    </row>
    <row r="23" spans="1:11" ht="12.75" customHeight="1" x14ac:dyDescent="0.2">
      <c r="A23" s="786" t="s">
        <v>1461</v>
      </c>
      <c r="B23" s="172"/>
      <c r="C23" s="758"/>
      <c r="D23" s="763"/>
      <c r="E23" s="743"/>
      <c r="F23" s="743"/>
      <c r="G23" s="743"/>
      <c r="H23" s="743"/>
      <c r="I23" s="45">
        <f t="shared" si="1"/>
        <v>0</v>
      </c>
      <c r="J23" s="333" t="str">
        <f t="shared" si="5"/>
        <v/>
      </c>
      <c r="K23" s="745"/>
    </row>
    <row r="24" spans="1:11" ht="12.75" customHeight="1" x14ac:dyDescent="0.2">
      <c r="A24" s="786" t="str">
        <f>IF(A11="","",A11)</f>
        <v/>
      </c>
      <c r="B24" s="172"/>
      <c r="C24" s="758"/>
      <c r="D24" s="763"/>
      <c r="E24" s="743"/>
      <c r="F24" s="743"/>
      <c r="G24" s="743"/>
      <c r="H24" s="980"/>
      <c r="I24" s="45">
        <f t="shared" si="1"/>
        <v>0</v>
      </c>
      <c r="J24" s="333" t="str">
        <f t="shared" si="5"/>
        <v/>
      </c>
      <c r="K24" s="745"/>
    </row>
    <row r="25" spans="1:11" ht="12.75" customHeight="1" x14ac:dyDescent="0.2">
      <c r="A25" s="786" t="str">
        <f>IF(A12="","",A12)</f>
        <v/>
      </c>
      <c r="B25" s="172"/>
      <c r="C25" s="758"/>
      <c r="D25" s="763"/>
      <c r="E25" s="743"/>
      <c r="F25" s="743"/>
      <c r="G25" s="743"/>
      <c r="H25" s="743"/>
      <c r="I25" s="45">
        <f t="shared" si="1"/>
        <v>0</v>
      </c>
      <c r="J25" s="333" t="str">
        <f t="shared" si="5"/>
        <v/>
      </c>
      <c r="K25" s="745"/>
    </row>
    <row r="26" spans="1:11" ht="12.75" customHeight="1" x14ac:dyDescent="0.2">
      <c r="A26" s="786" t="str">
        <f>IF(A13="","",A13)</f>
        <v/>
      </c>
      <c r="B26" s="172"/>
      <c r="C26" s="758"/>
      <c r="D26" s="763"/>
      <c r="E26" s="743"/>
      <c r="F26" s="743"/>
      <c r="G26" s="743"/>
      <c r="H26" s="743"/>
      <c r="I26" s="45">
        <f t="shared" si="1"/>
        <v>0</v>
      </c>
      <c r="J26" s="333" t="str">
        <f t="shared" si="5"/>
        <v/>
      </c>
      <c r="K26" s="745"/>
    </row>
    <row r="27" spans="1:11" ht="12.75" customHeight="1" x14ac:dyDescent="0.2">
      <c r="A27" s="786" t="str">
        <f>IF(A14="","",A14)</f>
        <v/>
      </c>
      <c r="B27" s="172"/>
      <c r="C27" s="758"/>
      <c r="D27" s="763"/>
      <c r="E27" s="743"/>
      <c r="F27" s="743"/>
      <c r="G27" s="743"/>
      <c r="H27" s="743"/>
      <c r="I27" s="45">
        <f t="shared" si="1"/>
        <v>0</v>
      </c>
      <c r="J27" s="333" t="str">
        <f t="shared" si="5"/>
        <v/>
      </c>
      <c r="K27" s="745"/>
    </row>
    <row r="28" spans="1:11" ht="12.75" customHeight="1" x14ac:dyDescent="0.2">
      <c r="A28" s="786" t="str">
        <f>IF(A15="","",A15)</f>
        <v/>
      </c>
      <c r="B28" s="172"/>
      <c r="C28" s="758"/>
      <c r="D28" s="763"/>
      <c r="E28" s="743"/>
      <c r="F28" s="743"/>
      <c r="G28" s="743"/>
      <c r="H28" s="743"/>
      <c r="I28" s="45">
        <f t="shared" si="1"/>
        <v>0</v>
      </c>
      <c r="J28" s="333" t="str">
        <f t="shared" si="5"/>
        <v/>
      </c>
      <c r="K28" s="745"/>
    </row>
    <row r="29" spans="1:11" ht="12.75" customHeight="1" x14ac:dyDescent="0.2">
      <c r="A29" s="93" t="s">
        <v>934</v>
      </c>
      <c r="B29" s="234">
        <v>2</v>
      </c>
      <c r="C29" s="244">
        <f t="shared" ref="C29:H29" si="6">SUM(C19:C28)</f>
        <v>0</v>
      </c>
      <c r="D29" s="261">
        <f t="shared" si="6"/>
        <v>0</v>
      </c>
      <c r="E29" s="74">
        <f t="shared" si="6"/>
        <v>0</v>
      </c>
      <c r="F29" s="74">
        <f t="shared" si="6"/>
        <v>0</v>
      </c>
      <c r="G29" s="74">
        <f t="shared" si="6"/>
        <v>0</v>
      </c>
      <c r="H29" s="74">
        <f t="shared" si="6"/>
        <v>0</v>
      </c>
      <c r="I29" s="74">
        <f t="shared" si="1"/>
        <v>0</v>
      </c>
      <c r="J29" s="334" t="str">
        <f t="shared" si="5"/>
        <v/>
      </c>
      <c r="K29" s="146">
        <f>SUM(K19:K28)</f>
        <v>0</v>
      </c>
    </row>
    <row r="30" spans="1:11" ht="5.0999999999999996" customHeight="1" x14ac:dyDescent="0.2">
      <c r="A30" s="43"/>
      <c r="B30" s="170"/>
      <c r="C30" s="135"/>
      <c r="D30" s="259"/>
      <c r="E30" s="45"/>
      <c r="F30" s="45"/>
      <c r="G30" s="45"/>
      <c r="H30" s="45"/>
      <c r="I30" s="45"/>
      <c r="J30" s="333" t="str">
        <f t="shared" si="5"/>
        <v/>
      </c>
      <c r="K30" s="145"/>
    </row>
    <row r="31" spans="1:11" ht="12.75" customHeight="1" x14ac:dyDescent="0.2">
      <c r="A31" s="88" t="str">
        <f>Head42</f>
        <v>Surplus/ (Deficit) for the yr/period</v>
      </c>
      <c r="B31" s="170"/>
      <c r="C31" s="135">
        <f>C16-C29</f>
        <v>0</v>
      </c>
      <c r="D31" s="259">
        <f t="shared" ref="D31:K31" si="7">D16-D29</f>
        <v>0</v>
      </c>
      <c r="E31" s="45">
        <f t="shared" si="7"/>
        <v>0</v>
      </c>
      <c r="F31" s="45">
        <f t="shared" si="7"/>
        <v>0</v>
      </c>
      <c r="G31" s="45">
        <f t="shared" si="7"/>
        <v>0</v>
      </c>
      <c r="H31" s="45">
        <f t="shared" si="7"/>
        <v>0</v>
      </c>
      <c r="I31" s="45">
        <f>I16+I29</f>
        <v>0</v>
      </c>
      <c r="J31" s="333" t="str">
        <f t="shared" si="5"/>
        <v/>
      </c>
      <c r="K31" s="145">
        <f t="shared" si="7"/>
        <v>0</v>
      </c>
    </row>
    <row r="32" spans="1:11" ht="12.75" customHeight="1" x14ac:dyDescent="0.2">
      <c r="A32" s="36" t="s">
        <v>841</v>
      </c>
      <c r="B32" s="172"/>
      <c r="C32" s="135"/>
      <c r="D32" s="259"/>
      <c r="E32" s="45"/>
      <c r="F32" s="45"/>
      <c r="G32" s="45"/>
      <c r="H32" s="45"/>
      <c r="I32" s="45"/>
      <c r="J32" s="333"/>
      <c r="K32" s="145"/>
    </row>
    <row r="33" spans="1:11" ht="12.75" customHeight="1" x14ac:dyDescent="0.2">
      <c r="A33" s="803" t="str">
        <f>$A$6</f>
        <v>Polokwane Housing Association</v>
      </c>
      <c r="B33" s="172"/>
      <c r="C33" s="758"/>
      <c r="D33" s="763"/>
      <c r="E33" s="743"/>
      <c r="F33" s="743"/>
      <c r="G33" s="743"/>
      <c r="H33" s="743"/>
      <c r="I33" s="45">
        <f t="shared" si="1"/>
        <v>0</v>
      </c>
      <c r="J33" s="333" t="str">
        <f t="shared" si="5"/>
        <v/>
      </c>
      <c r="K33" s="745"/>
    </row>
    <row r="34" spans="1:11" ht="12.75" customHeight="1" x14ac:dyDescent="0.2">
      <c r="A34" s="786" t="s">
        <v>1358</v>
      </c>
      <c r="B34" s="172"/>
      <c r="C34" s="758"/>
      <c r="D34" s="763"/>
      <c r="E34" s="743"/>
      <c r="F34" s="743"/>
      <c r="G34" s="743"/>
      <c r="H34" s="743"/>
      <c r="I34" s="45">
        <f t="shared" si="1"/>
        <v>0</v>
      </c>
      <c r="J34" s="333" t="str">
        <f t="shared" si="5"/>
        <v/>
      </c>
      <c r="K34" s="745"/>
    </row>
    <row r="35" spans="1:11" ht="12.75" customHeight="1" x14ac:dyDescent="0.2">
      <c r="A35" s="786"/>
      <c r="B35" s="172"/>
      <c r="C35" s="758"/>
      <c r="D35" s="763"/>
      <c r="E35" s="743"/>
      <c r="F35" s="743"/>
      <c r="G35" s="743"/>
      <c r="H35" s="743"/>
      <c r="I35" s="45">
        <f t="shared" si="1"/>
        <v>0</v>
      </c>
      <c r="J35" s="333" t="str">
        <f t="shared" si="5"/>
        <v/>
      </c>
      <c r="K35" s="745"/>
    </row>
    <row r="36" spans="1:11" ht="12.75" customHeight="1" x14ac:dyDescent="0.2">
      <c r="A36" s="786"/>
      <c r="B36" s="172"/>
      <c r="C36" s="758"/>
      <c r="D36" s="763"/>
      <c r="E36" s="743"/>
      <c r="F36" s="743"/>
      <c r="G36" s="743"/>
      <c r="H36" s="743"/>
      <c r="I36" s="45">
        <f t="shared" si="1"/>
        <v>0</v>
      </c>
      <c r="J36" s="333" t="str">
        <f t="shared" si="5"/>
        <v/>
      </c>
      <c r="K36" s="745"/>
    </row>
    <row r="37" spans="1:11" ht="12.75" customHeight="1" x14ac:dyDescent="0.2">
      <c r="A37" s="786" t="str">
        <f>IF(A10="","",A10)</f>
        <v/>
      </c>
      <c r="B37" s="172"/>
      <c r="C37" s="758"/>
      <c r="D37" s="763"/>
      <c r="E37" s="743"/>
      <c r="F37" s="743"/>
      <c r="G37" s="743"/>
      <c r="H37" s="743"/>
      <c r="I37" s="45">
        <f t="shared" si="1"/>
        <v>0</v>
      </c>
      <c r="J37" s="333" t="str">
        <f t="shared" si="5"/>
        <v/>
      </c>
      <c r="K37" s="745"/>
    </row>
    <row r="38" spans="1:11" ht="12.75" customHeight="1" x14ac:dyDescent="0.2">
      <c r="A38" s="786" t="str">
        <f>IF(A11="","",A11)</f>
        <v/>
      </c>
      <c r="B38" s="172"/>
      <c r="C38" s="758"/>
      <c r="D38" s="763"/>
      <c r="E38" s="743"/>
      <c r="F38" s="743"/>
      <c r="G38" s="743"/>
      <c r="H38" s="743"/>
      <c r="I38" s="45">
        <f t="shared" si="1"/>
        <v>0</v>
      </c>
      <c r="J38" s="333" t="str">
        <f t="shared" si="5"/>
        <v/>
      </c>
      <c r="K38" s="745"/>
    </row>
    <row r="39" spans="1:11" ht="12.75" customHeight="1" x14ac:dyDescent="0.2">
      <c r="A39" s="786" t="str">
        <f>IF(A12="","",A12)</f>
        <v/>
      </c>
      <c r="B39" s="172"/>
      <c r="C39" s="758"/>
      <c r="D39" s="763"/>
      <c r="E39" s="743"/>
      <c r="F39" s="743"/>
      <c r="G39" s="743"/>
      <c r="H39" s="743"/>
      <c r="I39" s="45">
        <f t="shared" si="1"/>
        <v>0</v>
      </c>
      <c r="J39" s="333" t="str">
        <f t="shared" si="5"/>
        <v/>
      </c>
      <c r="K39" s="745"/>
    </row>
    <row r="40" spans="1:11" ht="12.75" customHeight="1" x14ac:dyDescent="0.2">
      <c r="A40" s="786" t="str">
        <f>IF(A13="","",A13)</f>
        <v/>
      </c>
      <c r="B40" s="172"/>
      <c r="C40" s="758"/>
      <c r="D40" s="763"/>
      <c r="E40" s="743"/>
      <c r="F40" s="743"/>
      <c r="G40" s="743"/>
      <c r="H40" s="743"/>
      <c r="I40" s="45">
        <f t="shared" si="1"/>
        <v>0</v>
      </c>
      <c r="J40" s="333" t="str">
        <f t="shared" si="5"/>
        <v/>
      </c>
      <c r="K40" s="745"/>
    </row>
    <row r="41" spans="1:11" ht="12.75" customHeight="1" x14ac:dyDescent="0.2">
      <c r="A41" s="786" t="str">
        <f>IF(A14="","",A14)</f>
        <v/>
      </c>
      <c r="B41" s="172"/>
      <c r="C41" s="758"/>
      <c r="D41" s="763"/>
      <c r="E41" s="743"/>
      <c r="F41" s="743"/>
      <c r="G41" s="743"/>
      <c r="H41" s="743"/>
      <c r="I41" s="45">
        <f t="shared" si="1"/>
        <v>0</v>
      </c>
      <c r="J41" s="333" t="str">
        <f t="shared" si="5"/>
        <v/>
      </c>
      <c r="K41" s="745"/>
    </row>
    <row r="42" spans="1:11" ht="5.0999999999999996" customHeight="1" x14ac:dyDescent="0.2">
      <c r="A42" s="786"/>
      <c r="B42" s="172"/>
      <c r="C42" s="758"/>
      <c r="D42" s="763"/>
      <c r="E42" s="743"/>
      <c r="F42" s="743"/>
      <c r="G42" s="743"/>
      <c r="H42" s="743"/>
      <c r="I42" s="45"/>
      <c r="J42" s="333" t="str">
        <f t="shared" si="5"/>
        <v/>
      </c>
      <c r="K42" s="745"/>
    </row>
    <row r="43" spans="1:11" ht="12.75" customHeight="1" x14ac:dyDescent="0.2">
      <c r="A43" s="114" t="s">
        <v>783</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5"/>
        <v/>
      </c>
      <c r="K43" s="236">
        <f t="shared" si="8"/>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999</v>
      </c>
      <c r="B45" s="59"/>
      <c r="C45" s="63"/>
      <c r="D45" s="63"/>
      <c r="E45" s="63"/>
      <c r="F45" s="63"/>
      <c r="G45" s="63"/>
      <c r="H45" s="63"/>
      <c r="I45" s="63"/>
      <c r="J45" s="63"/>
      <c r="K45" s="63"/>
    </row>
    <row r="46" spans="1:11" ht="12.75" customHeight="1" x14ac:dyDescent="0.2">
      <c r="A46" s="81" t="s">
        <v>1000</v>
      </c>
      <c r="B46" s="59"/>
      <c r="C46" s="63"/>
      <c r="D46" s="63"/>
      <c r="E46" s="63"/>
      <c r="F46" s="63"/>
      <c r="G46" s="63"/>
      <c r="H46" s="63"/>
      <c r="I46" s="63"/>
      <c r="J46" s="63"/>
      <c r="K46" s="63"/>
    </row>
    <row r="47" spans="1:11" ht="12.75" customHeight="1" x14ac:dyDescent="0.2">
      <c r="A47" s="61" t="s">
        <v>639</v>
      </c>
      <c r="B47" s="59"/>
      <c r="C47" s="63"/>
      <c r="D47" s="63"/>
      <c r="E47" s="63"/>
      <c r="F47" s="63"/>
      <c r="G47" s="63"/>
      <c r="H47" s="63"/>
      <c r="I47" s="63"/>
      <c r="J47" s="63"/>
      <c r="K47" s="63"/>
    </row>
    <row r="48" spans="1:11" ht="12.75" customHeight="1" x14ac:dyDescent="0.2">
      <c r="A48" s="81" t="s">
        <v>661</v>
      </c>
      <c r="B48" s="59"/>
      <c r="C48" s="63"/>
      <c r="D48" s="63"/>
      <c r="E48" s="63"/>
      <c r="F48" s="63"/>
      <c r="G48" s="63"/>
      <c r="H48" s="63"/>
      <c r="I48" s="63"/>
      <c r="J48" s="63"/>
      <c r="K48" s="63"/>
    </row>
    <row r="49" spans="1:11" ht="12.75" customHeight="1" x14ac:dyDescent="0.2">
      <c r="A49" s="325" t="s">
        <v>591</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9"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J18"/>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42" t="str">
        <f>muni&amp; " - "&amp;S71R&amp; " - "&amp;Head57</f>
        <v>LIM354 Polokwane - Supporting Table SC12 Monthly Budget Statement - capital expenditure trend - M05 November</v>
      </c>
      <c r="B1" s="1042"/>
      <c r="C1" s="1042"/>
      <c r="D1" s="1042"/>
      <c r="E1" s="1042"/>
      <c r="F1" s="1042"/>
      <c r="G1" s="1042"/>
      <c r="H1" s="1042"/>
      <c r="I1" s="1042"/>
      <c r="J1" s="1042"/>
    </row>
    <row r="2" spans="1:10" x14ac:dyDescent="0.2">
      <c r="A2" s="1031" t="s">
        <v>912</v>
      </c>
      <c r="B2" s="140" t="str">
        <f>Head1</f>
        <v>2018/19</v>
      </c>
      <c r="C2" s="1026" t="str">
        <f>Head2</f>
        <v>Budget Year 2019/20</v>
      </c>
      <c r="D2" s="1027"/>
      <c r="E2" s="1027"/>
      <c r="F2" s="1027"/>
      <c r="G2" s="1027"/>
      <c r="H2" s="1027"/>
      <c r="I2" s="1027"/>
      <c r="J2" s="1028"/>
    </row>
    <row r="3" spans="1:10" ht="30.6" x14ac:dyDescent="0.2">
      <c r="A3" s="1032"/>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
      <c r="A4" s="294" t="s">
        <v>687</v>
      </c>
      <c r="B4" s="295"/>
      <c r="C4" s="301"/>
      <c r="D4" s="297"/>
      <c r="E4" s="298"/>
      <c r="F4" s="298"/>
      <c r="G4" s="298"/>
      <c r="H4" s="298"/>
      <c r="I4" s="299" t="s">
        <v>594</v>
      </c>
      <c r="J4" s="300"/>
    </row>
    <row r="5" spans="1:10" ht="12.75" customHeight="1" x14ac:dyDescent="0.2">
      <c r="A5" s="36" t="s">
        <v>485</v>
      </c>
      <c r="B5" s="135"/>
      <c r="C5" s="259"/>
      <c r="D5" s="45"/>
      <c r="E5" s="45"/>
      <c r="F5" s="45"/>
      <c r="G5" s="45"/>
      <c r="H5" s="45"/>
      <c r="I5" s="125"/>
      <c r="J5" s="145"/>
    </row>
    <row r="6" spans="1:10" ht="12.75" customHeight="1" x14ac:dyDescent="0.2">
      <c r="A6" s="40" t="s">
        <v>804</v>
      </c>
      <c r="B6" s="758">
        <v>59892</v>
      </c>
      <c r="C6" s="763">
        <v>38885000</v>
      </c>
      <c r="D6" s="743">
        <v>85297669.120000005</v>
      </c>
      <c r="E6" s="743">
        <v>85297669.120000005</v>
      </c>
      <c r="F6" s="411">
        <f>IF(E6&gt;0,E6,"")</f>
        <v>85297669.120000005</v>
      </c>
      <c r="G6" s="411">
        <f>IF(D6&gt;0,D6,C6)</f>
        <v>85297669.120000005</v>
      </c>
      <c r="H6" s="45">
        <f t="shared" ref="H6:H16" si="0">IF(F6="",0,G6-F6)</f>
        <v>0</v>
      </c>
      <c r="I6" s="125" t="str">
        <f t="shared" ref="I6:I16" si="1">IF(F6="","",IF(H6=0,"",H6/G6))</f>
        <v/>
      </c>
      <c r="J6" s="683">
        <f t="shared" ref="J6:J16" si="2">IF(F6="","",F6/$C$18)</f>
        <v>4.5150487637564643E-2</v>
      </c>
    </row>
    <row r="7" spans="1:10" ht="12.75" customHeight="1" x14ac:dyDescent="0.2">
      <c r="A7" s="40" t="s">
        <v>935</v>
      </c>
      <c r="B7" s="758">
        <v>114658356.07565999</v>
      </c>
      <c r="C7" s="763">
        <v>52927000</v>
      </c>
      <c r="D7" s="743">
        <v>45515291.767000005</v>
      </c>
      <c r="E7" s="743">
        <v>45515291.767000005</v>
      </c>
      <c r="F7" s="411">
        <f>IF(E7&gt;0,E7+F6,"")</f>
        <v>130812960.88700001</v>
      </c>
      <c r="G7" s="411">
        <f>IF(D7&gt;0,D7+D6,C7+C6)</f>
        <v>130812960.88700001</v>
      </c>
      <c r="H7" s="45">
        <f t="shared" si="0"/>
        <v>0</v>
      </c>
      <c r="I7" s="125" t="str">
        <f t="shared" si="1"/>
        <v/>
      </c>
      <c r="J7" s="683">
        <f t="shared" si="2"/>
        <v>6.9243028963107509E-2</v>
      </c>
    </row>
    <row r="8" spans="1:10" ht="12.75" customHeight="1" x14ac:dyDescent="0.2">
      <c r="A8" s="40" t="s">
        <v>560</v>
      </c>
      <c r="B8" s="758">
        <v>81613647.633128002</v>
      </c>
      <c r="C8" s="763">
        <v>87521000</v>
      </c>
      <c r="D8" s="743">
        <v>63024484.609000005</v>
      </c>
      <c r="E8" s="743">
        <v>63024484.609000005</v>
      </c>
      <c r="F8" s="411">
        <f t="shared" ref="F8:F17" si="3">IF(E8&gt;0,E8+F7,"")</f>
        <v>193837445.49600002</v>
      </c>
      <c r="G8" s="411">
        <f>IF(D8&gt;0,D8+G7,C8+G7)</f>
        <v>193837445.49600002</v>
      </c>
      <c r="H8" s="45">
        <f t="shared" si="0"/>
        <v>0</v>
      </c>
      <c r="I8" s="125" t="str">
        <f t="shared" si="1"/>
        <v/>
      </c>
      <c r="J8" s="683">
        <f t="shared" si="2"/>
        <v>0.10260368515172223</v>
      </c>
    </row>
    <row r="9" spans="1:10" ht="12.75" customHeight="1" x14ac:dyDescent="0.2">
      <c r="A9" s="40" t="s">
        <v>936</v>
      </c>
      <c r="B9" s="758">
        <v>125253452.40719202</v>
      </c>
      <c r="C9" s="763">
        <v>116093000</v>
      </c>
      <c r="D9" s="743">
        <v>63068303.311999992</v>
      </c>
      <c r="E9" s="743">
        <v>63068303.311999992</v>
      </c>
      <c r="F9" s="411">
        <f t="shared" si="3"/>
        <v>256905748.80800003</v>
      </c>
      <c r="G9" s="411">
        <f t="shared" ref="G9:G17" si="4">IF(D9&gt;0,D9+G8,C9+G8)</f>
        <v>256905748.80800003</v>
      </c>
      <c r="H9" s="45">
        <f t="shared" si="0"/>
        <v>0</v>
      </c>
      <c r="I9" s="125" t="str">
        <f t="shared" si="1"/>
        <v/>
      </c>
      <c r="J9" s="683">
        <f t="shared" si="2"/>
        <v>0.13598753582886761</v>
      </c>
    </row>
    <row r="10" spans="1:10" ht="12.75" customHeight="1" x14ac:dyDescent="0.2">
      <c r="A10" s="40" t="s">
        <v>937</v>
      </c>
      <c r="B10" s="758">
        <v>117057421.92475198</v>
      </c>
      <c r="C10" s="763">
        <v>116300000</v>
      </c>
      <c r="D10" s="743">
        <v>124247725.67</v>
      </c>
      <c r="E10" s="743">
        <v>124247725.67</v>
      </c>
      <c r="F10" s="411">
        <f t="shared" si="3"/>
        <v>381153474.47800004</v>
      </c>
      <c r="G10" s="411">
        <f t="shared" si="4"/>
        <v>381153474.47800004</v>
      </c>
      <c r="H10" s="45">
        <f t="shared" si="0"/>
        <v>0</v>
      </c>
      <c r="I10" s="125" t="str">
        <f t="shared" si="1"/>
        <v/>
      </c>
      <c r="J10" s="683">
        <f t="shared" si="2"/>
        <v>0.20175539865248959</v>
      </c>
    </row>
    <row r="11" spans="1:10" ht="12.75" customHeight="1" x14ac:dyDescent="0.2">
      <c r="A11" s="40" t="s">
        <v>938</v>
      </c>
      <c r="B11" s="758">
        <v>123680771.70764397</v>
      </c>
      <c r="C11" s="763">
        <v>132266000</v>
      </c>
      <c r="D11" s="743">
        <v>131868000</v>
      </c>
      <c r="E11" s="743">
        <v>0</v>
      </c>
      <c r="F11" s="411" t="str">
        <f t="shared" si="3"/>
        <v/>
      </c>
      <c r="G11" s="411">
        <f t="shared" si="4"/>
        <v>513021474.47800004</v>
      </c>
      <c r="H11" s="45">
        <f t="shared" si="0"/>
        <v>0</v>
      </c>
      <c r="I11" s="125" t="str">
        <f t="shared" si="1"/>
        <v/>
      </c>
      <c r="J11" s="683" t="str">
        <f t="shared" si="2"/>
        <v/>
      </c>
    </row>
    <row r="12" spans="1:10" ht="12.75" customHeight="1" x14ac:dyDescent="0.2">
      <c r="A12" s="40" t="s">
        <v>939</v>
      </c>
      <c r="B12" s="758">
        <v>56304819.371612005</v>
      </c>
      <c r="C12" s="763">
        <v>132336000</v>
      </c>
      <c r="D12" s="743">
        <v>131938000</v>
      </c>
      <c r="E12" s="743">
        <v>0</v>
      </c>
      <c r="F12" s="411" t="str">
        <f t="shared" si="3"/>
        <v/>
      </c>
      <c r="G12" s="411">
        <f t="shared" si="4"/>
        <v>644959474.47800004</v>
      </c>
      <c r="H12" s="45">
        <f t="shared" si="0"/>
        <v>0</v>
      </c>
      <c r="I12" s="125" t="str">
        <f t="shared" si="1"/>
        <v/>
      </c>
      <c r="J12" s="683" t="str">
        <f t="shared" si="2"/>
        <v/>
      </c>
    </row>
    <row r="13" spans="1:10" ht="12.75" customHeight="1" x14ac:dyDescent="0.2">
      <c r="A13" s="40" t="s">
        <v>940</v>
      </c>
      <c r="B13" s="758">
        <v>29352943.087880004</v>
      </c>
      <c r="C13" s="763">
        <v>132336000</v>
      </c>
      <c r="D13" s="743">
        <v>131938000</v>
      </c>
      <c r="E13" s="743">
        <v>0</v>
      </c>
      <c r="F13" s="411" t="str">
        <f t="shared" si="3"/>
        <v/>
      </c>
      <c r="G13" s="411">
        <f t="shared" si="4"/>
        <v>776897474.47800004</v>
      </c>
      <c r="H13" s="45">
        <f t="shared" si="0"/>
        <v>0</v>
      </c>
      <c r="I13" s="125" t="str">
        <f t="shared" si="1"/>
        <v/>
      </c>
      <c r="J13" s="683" t="str">
        <f t="shared" si="2"/>
        <v/>
      </c>
    </row>
    <row r="14" spans="1:10" ht="12.75" customHeight="1" x14ac:dyDescent="0.2">
      <c r="A14" s="40" t="s">
        <v>941</v>
      </c>
      <c r="B14" s="758">
        <v>152645868.564648</v>
      </c>
      <c r="C14" s="763">
        <v>199883000</v>
      </c>
      <c r="D14" s="743">
        <v>199282000</v>
      </c>
      <c r="E14" s="743">
        <v>0</v>
      </c>
      <c r="F14" s="411" t="str">
        <f t="shared" si="3"/>
        <v/>
      </c>
      <c r="G14" s="411">
        <f t="shared" si="4"/>
        <v>976179474.47800004</v>
      </c>
      <c r="H14" s="45">
        <f t="shared" si="0"/>
        <v>0</v>
      </c>
      <c r="I14" s="125" t="str">
        <f t="shared" si="1"/>
        <v/>
      </c>
      <c r="J14" s="683" t="str">
        <f t="shared" si="2"/>
        <v/>
      </c>
    </row>
    <row r="15" spans="1:10" ht="12.75" customHeight="1" x14ac:dyDescent="0.2">
      <c r="A15" s="40" t="s">
        <v>942</v>
      </c>
      <c r="B15" s="758">
        <v>67570203.105097041</v>
      </c>
      <c r="C15" s="763">
        <v>227676000</v>
      </c>
      <c r="D15" s="743">
        <v>226991000</v>
      </c>
      <c r="E15" s="743">
        <v>0</v>
      </c>
      <c r="F15" s="411" t="str">
        <f t="shared" si="3"/>
        <v/>
      </c>
      <c r="G15" s="411">
        <f t="shared" si="4"/>
        <v>1203170474.4780002</v>
      </c>
      <c r="H15" s="45">
        <f t="shared" si="0"/>
        <v>0</v>
      </c>
      <c r="I15" s="125" t="str">
        <f t="shared" si="1"/>
        <v/>
      </c>
      <c r="J15" s="684" t="str">
        <f t="shared" si="2"/>
        <v/>
      </c>
    </row>
    <row r="16" spans="1:10" ht="12.75" customHeight="1" x14ac:dyDescent="0.2">
      <c r="A16" s="40" t="s">
        <v>943</v>
      </c>
      <c r="B16" s="758">
        <v>36486409.166999996</v>
      </c>
      <c r="C16" s="763">
        <v>297703000</v>
      </c>
      <c r="D16" s="743">
        <v>278808000</v>
      </c>
      <c r="E16" s="743">
        <v>0</v>
      </c>
      <c r="F16" s="411" t="str">
        <f t="shared" si="3"/>
        <v/>
      </c>
      <c r="G16" s="411">
        <f t="shared" si="4"/>
        <v>1481978474.4780002</v>
      </c>
      <c r="H16" s="45">
        <f t="shared" si="0"/>
        <v>0</v>
      </c>
      <c r="I16" s="125" t="str">
        <f t="shared" si="1"/>
        <v/>
      </c>
      <c r="J16" s="684" t="str">
        <f t="shared" si="2"/>
        <v/>
      </c>
    </row>
    <row r="17" spans="1:10" ht="12.75" customHeight="1" x14ac:dyDescent="0.2">
      <c r="A17" s="248" t="s">
        <v>944</v>
      </c>
      <c r="B17" s="759">
        <v>155412588.42163199</v>
      </c>
      <c r="C17" s="767">
        <v>355259999.60000002</v>
      </c>
      <c r="D17" s="767">
        <v>348653637.52199984</v>
      </c>
      <c r="E17" s="767">
        <v>0</v>
      </c>
      <c r="F17" s="412" t="str">
        <f t="shared" si="3"/>
        <v/>
      </c>
      <c r="G17" s="412">
        <f t="shared" si="4"/>
        <v>1830632112</v>
      </c>
      <c r="H17" s="100">
        <f>IF(F17="",0,G17-F17)</f>
        <v>0</v>
      </c>
      <c r="I17" s="327" t="str">
        <f>IF(F17="","",IF(H17=0,"",H17/G17))</f>
        <v/>
      </c>
      <c r="J17" s="685" t="str">
        <f>IF(F17="","",F17/$C$18)</f>
        <v/>
      </c>
    </row>
    <row r="18" spans="1:10" ht="12.75" customHeight="1" x14ac:dyDescent="0.2">
      <c r="A18" s="95" t="s">
        <v>584</v>
      </c>
      <c r="B18" s="245">
        <f>SUM(B6:B17)</f>
        <v>1060096373.4662452</v>
      </c>
      <c r="C18" s="266">
        <f>SUM(C6:C17)</f>
        <v>1889185999.5999999</v>
      </c>
      <c r="D18" s="77">
        <f>SUM(D6:D17)</f>
        <v>1830632112</v>
      </c>
      <c r="E18" s="77">
        <f>SUM(E6:E17)</f>
        <v>381153474.47800004</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K166" sqref="C7:K166"/>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"&amp;S71Sa&amp; " - "&amp;Head57</f>
        <v>LIM354 Polokwane - Supporting Table SC13a Monthly Budget Statement - capital expenditure on new assets by asset class - M05 November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526140806.991</v>
      </c>
      <c r="D7" s="611">
        <f t="shared" si="0"/>
        <v>853532363</v>
      </c>
      <c r="E7" s="103">
        <f t="shared" si="0"/>
        <v>825724432</v>
      </c>
      <c r="F7" s="103">
        <f t="shared" si="0"/>
        <v>66379836.170499995</v>
      </c>
      <c r="G7" s="103">
        <f t="shared" si="0"/>
        <v>259124565.05600008</v>
      </c>
      <c r="H7" s="103">
        <f t="shared" si="0"/>
        <v>344051846.66666663</v>
      </c>
      <c r="I7" s="102">
        <f t="shared" ref="I7:I37" si="1">H7-G7</f>
        <v>84927281.610666543</v>
      </c>
      <c r="J7" s="588">
        <f t="shared" ref="J7:J37" si="2">IF(I7=0,"",I7/H7)</f>
        <v>0.24684442892395816</v>
      </c>
      <c r="K7" s="612">
        <f>K8+K13+K17+K27+K38+K45+K53+K63+K69</f>
        <v>825724427</v>
      </c>
    </row>
    <row r="8" spans="1:11" ht="12.75" customHeight="1" x14ac:dyDescent="0.2">
      <c r="A8" s="521" t="s">
        <v>1253</v>
      </c>
      <c r="B8" s="170"/>
      <c r="C8" s="686">
        <f t="shared" ref="C8:H8" si="3">SUM(C9:C12)</f>
        <v>109233945.61499999</v>
      </c>
      <c r="D8" s="618">
        <f t="shared" si="3"/>
        <v>270111528</v>
      </c>
      <c r="E8" s="617">
        <f t="shared" si="3"/>
        <v>261936580</v>
      </c>
      <c r="F8" s="617">
        <f t="shared" si="3"/>
        <v>9453778.7915000003</v>
      </c>
      <c r="G8" s="617">
        <f t="shared" si="3"/>
        <v>15306063.057500001</v>
      </c>
      <c r="H8" s="617">
        <f t="shared" si="3"/>
        <v>109140241.66666666</v>
      </c>
      <c r="I8" s="259">
        <f t="shared" si="1"/>
        <v>93834178.609166652</v>
      </c>
      <c r="J8" s="584">
        <f t="shared" si="2"/>
        <v>0.85975784161952484</v>
      </c>
      <c r="K8" s="619">
        <f>SUM(K9:K12)</f>
        <v>261936580</v>
      </c>
    </row>
    <row r="9" spans="1:11" ht="12.75" customHeight="1" x14ac:dyDescent="0.2">
      <c r="A9" s="583" t="s">
        <v>175</v>
      </c>
      <c r="B9" s="170"/>
      <c r="C9" s="758">
        <v>109233945.61499999</v>
      </c>
      <c r="D9" s="755">
        <v>270111528</v>
      </c>
      <c r="E9" s="743">
        <v>261936580</v>
      </c>
      <c r="F9" s="743">
        <v>9453778.7915000003</v>
      </c>
      <c r="G9" s="970">
        <f>F9+5852284.266</f>
        <v>15306063.057500001</v>
      </c>
      <c r="H9" s="970">
        <f>E9/12*5</f>
        <v>109140241.66666666</v>
      </c>
      <c r="I9" s="259">
        <f t="shared" si="1"/>
        <v>93834178.609166652</v>
      </c>
      <c r="J9" s="584">
        <f t="shared" si="2"/>
        <v>0.85975784161952484</v>
      </c>
      <c r="K9" s="745">
        <v>261936580</v>
      </c>
    </row>
    <row r="10" spans="1:11" ht="12.75" customHeight="1" x14ac:dyDescent="0.2">
      <c r="A10" s="583" t="s">
        <v>1254</v>
      </c>
      <c r="B10" s="170"/>
      <c r="C10" s="758"/>
      <c r="D10" s="755">
        <v>0</v>
      </c>
      <c r="E10" s="743">
        <v>0</v>
      </c>
      <c r="F10" s="743">
        <v>0</v>
      </c>
      <c r="G10" s="970">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970">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970">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D14/12*7</f>
        <v>0</v>
      </c>
      <c r="I14" s="259">
        <f t="shared" si="1"/>
        <v>0</v>
      </c>
      <c r="J14" s="584" t="str">
        <f t="shared" si="2"/>
        <v/>
      </c>
      <c r="K14" s="745">
        <v>0</v>
      </c>
    </row>
    <row r="15" spans="1:11" ht="12.75" customHeight="1" x14ac:dyDescent="0.2">
      <c r="A15" s="583" t="s">
        <v>1259</v>
      </c>
      <c r="B15" s="170"/>
      <c r="C15" s="758"/>
      <c r="D15" s="755">
        <v>0</v>
      </c>
      <c r="E15" s="743">
        <v>0</v>
      </c>
      <c r="F15" s="743">
        <v>0</v>
      </c>
      <c r="G15" s="743">
        <v>0</v>
      </c>
      <c r="H15" s="743">
        <f t="shared" ref="H15:H16" si="5">D15/12*7</f>
        <v>0</v>
      </c>
      <c r="I15" s="259">
        <f t="shared" si="1"/>
        <v>0</v>
      </c>
      <c r="J15" s="584" t="str">
        <f t="shared" si="2"/>
        <v/>
      </c>
      <c r="K15" s="745">
        <v>0</v>
      </c>
    </row>
    <row r="16" spans="1:11" ht="12.75" customHeight="1" x14ac:dyDescent="0.2">
      <c r="A16" s="583" t="s">
        <v>1260</v>
      </c>
      <c r="B16" s="170"/>
      <c r="C16" s="758"/>
      <c r="D16" s="755">
        <v>0</v>
      </c>
      <c r="E16" s="743">
        <v>0</v>
      </c>
      <c r="F16" s="743">
        <v>0</v>
      </c>
      <c r="G16" s="743">
        <v>0</v>
      </c>
      <c r="H16" s="743">
        <f t="shared" si="5"/>
        <v>0</v>
      </c>
      <c r="I16" s="259">
        <f t="shared" si="1"/>
        <v>0</v>
      </c>
      <c r="J16" s="584" t="str">
        <f t="shared" si="2"/>
        <v/>
      </c>
      <c r="K16" s="745">
        <v>0</v>
      </c>
    </row>
    <row r="17" spans="1:11" ht="12.75" customHeight="1" x14ac:dyDescent="0.2">
      <c r="A17" s="521" t="s">
        <v>1261</v>
      </c>
      <c r="B17" s="170"/>
      <c r="C17" s="657">
        <f t="shared" ref="C17:H17" si="6">SUM(C18:C26)</f>
        <v>29118837.0275</v>
      </c>
      <c r="D17" s="658">
        <f t="shared" si="6"/>
        <v>58247500</v>
      </c>
      <c r="E17" s="411">
        <f t="shared" si="6"/>
        <v>58247500</v>
      </c>
      <c r="F17" s="411">
        <f t="shared" si="6"/>
        <v>4136950.7749999999</v>
      </c>
      <c r="G17" s="411">
        <f t="shared" si="6"/>
        <v>4365168.2750000004</v>
      </c>
      <c r="H17" s="411">
        <f t="shared" si="6"/>
        <v>24269791.666666664</v>
      </c>
      <c r="I17" s="259">
        <f t="shared" si="1"/>
        <v>19904623.391666666</v>
      </c>
      <c r="J17" s="584">
        <f t="shared" si="2"/>
        <v>0.82013985389930899</v>
      </c>
      <c r="K17" s="651">
        <f>SUM(K18:K26)</f>
        <v>58247500</v>
      </c>
    </row>
    <row r="18" spans="1:11" ht="12.75" customHeight="1" x14ac:dyDescent="0.2">
      <c r="A18" s="583" t="s">
        <v>1262</v>
      </c>
      <c r="B18" s="170"/>
      <c r="C18" s="758"/>
      <c r="D18" s="755">
        <v>0</v>
      </c>
      <c r="E18" s="743">
        <v>0</v>
      </c>
      <c r="F18" s="743">
        <v>0</v>
      </c>
      <c r="G18" s="743">
        <v>0</v>
      </c>
      <c r="H18" s="743">
        <f t="shared" ref="H18:H26" si="7">D18/12*3</f>
        <v>0</v>
      </c>
      <c r="I18" s="259">
        <f t="shared" si="1"/>
        <v>0</v>
      </c>
      <c r="J18" s="584" t="str">
        <f t="shared" si="2"/>
        <v/>
      </c>
      <c r="K18" s="745">
        <f>E18</f>
        <v>0</v>
      </c>
    </row>
    <row r="19" spans="1:11" ht="12.75" customHeight="1" x14ac:dyDescent="0.2">
      <c r="A19" s="583" t="s">
        <v>1263</v>
      </c>
      <c r="B19" s="170"/>
      <c r="C19" s="758"/>
      <c r="D19" s="755">
        <v>0</v>
      </c>
      <c r="E19" s="743">
        <v>0</v>
      </c>
      <c r="F19" s="743">
        <v>0</v>
      </c>
      <c r="G19" s="743">
        <v>0</v>
      </c>
      <c r="H19" s="743">
        <f t="shared" si="7"/>
        <v>0</v>
      </c>
      <c r="I19" s="259">
        <f t="shared" si="1"/>
        <v>0</v>
      </c>
      <c r="J19" s="584" t="str">
        <f t="shared" si="2"/>
        <v/>
      </c>
      <c r="K19" s="745">
        <f t="shared" ref="K19:K25" si="8">D19</f>
        <v>0</v>
      </c>
    </row>
    <row r="20" spans="1:11" ht="12.75" customHeight="1" x14ac:dyDescent="0.2">
      <c r="A20" s="583" t="s">
        <v>1264</v>
      </c>
      <c r="B20" s="170"/>
      <c r="C20" s="758">
        <v>29118837.0275</v>
      </c>
      <c r="D20" s="755">
        <v>58247500</v>
      </c>
      <c r="E20" s="743">
        <v>58247500</v>
      </c>
      <c r="F20" s="743">
        <v>4136950.7749999999</v>
      </c>
      <c r="G20" s="743">
        <f>F20+228217.5</f>
        <v>4365168.2750000004</v>
      </c>
      <c r="H20" s="743">
        <f>E20/12*5</f>
        <v>24269791.666666664</v>
      </c>
      <c r="I20" s="259">
        <f t="shared" si="1"/>
        <v>19904623.391666666</v>
      </c>
      <c r="J20" s="584">
        <f t="shared" si="2"/>
        <v>0.82013985389930899</v>
      </c>
      <c r="K20" s="745">
        <f t="shared" si="8"/>
        <v>58247500</v>
      </c>
    </row>
    <row r="21" spans="1:11" ht="12.75" customHeight="1" x14ac:dyDescent="0.2">
      <c r="A21" s="583" t="s">
        <v>1265</v>
      </c>
      <c r="B21" s="170"/>
      <c r="C21" s="758"/>
      <c r="D21" s="755">
        <v>0</v>
      </c>
      <c r="E21" s="743">
        <v>0</v>
      </c>
      <c r="F21" s="743">
        <v>0</v>
      </c>
      <c r="G21" s="743">
        <v>0</v>
      </c>
      <c r="H21" s="743">
        <f t="shared" si="7"/>
        <v>0</v>
      </c>
      <c r="I21" s="259">
        <f t="shared" si="1"/>
        <v>0</v>
      </c>
      <c r="J21" s="584" t="str">
        <f t="shared" si="2"/>
        <v/>
      </c>
      <c r="K21" s="745">
        <f t="shared" si="8"/>
        <v>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 t="shared" si="1"/>
        <v>0</v>
      </c>
      <c r="J24" s="584" t="str">
        <f t="shared" si="2"/>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c r="D26" s="755">
        <v>0</v>
      </c>
      <c r="E26" s="743"/>
      <c r="F26" s="743">
        <v>0</v>
      </c>
      <c r="G26" s="743">
        <v>0</v>
      </c>
      <c r="H26" s="743">
        <f t="shared" si="7"/>
        <v>0</v>
      </c>
      <c r="I26" s="259">
        <f t="shared" si="1"/>
        <v>0</v>
      </c>
      <c r="J26" s="584" t="str">
        <f t="shared" si="2"/>
        <v/>
      </c>
      <c r="K26" s="745">
        <f>D26</f>
        <v>0</v>
      </c>
    </row>
    <row r="27" spans="1:11" ht="12.75" customHeight="1" x14ac:dyDescent="0.2">
      <c r="A27" s="520" t="s">
        <v>1270</v>
      </c>
      <c r="B27" s="170"/>
      <c r="C27" s="657">
        <f t="shared" ref="C27:H27" si="9">SUM(C28:C37)</f>
        <v>209236654.32799998</v>
      </c>
      <c r="D27" s="658">
        <f t="shared" si="9"/>
        <v>335480100</v>
      </c>
      <c r="E27" s="411">
        <f t="shared" si="9"/>
        <v>322615104</v>
      </c>
      <c r="F27" s="411">
        <f t="shared" si="9"/>
        <v>22087272.841499999</v>
      </c>
      <c r="G27" s="411">
        <f t="shared" si="9"/>
        <v>96785189.726000071</v>
      </c>
      <c r="H27" s="411">
        <f t="shared" si="9"/>
        <v>134422960</v>
      </c>
      <c r="I27" s="259">
        <f t="shared" si="1"/>
        <v>37637770.273999929</v>
      </c>
      <c r="J27" s="584">
        <f t="shared" si="2"/>
        <v>0.2799951010898728</v>
      </c>
      <c r="K27" s="651">
        <f>SUM(K28:K37)</f>
        <v>322615104</v>
      </c>
    </row>
    <row r="28" spans="1:11" ht="12.75" customHeight="1" x14ac:dyDescent="0.2">
      <c r="A28" s="583" t="s">
        <v>1271</v>
      </c>
      <c r="B28" s="170"/>
      <c r="C28" s="758"/>
      <c r="D28" s="755">
        <v>0</v>
      </c>
      <c r="E28" s="743">
        <v>0</v>
      </c>
      <c r="F28" s="743">
        <v>0</v>
      </c>
      <c r="G28" s="743">
        <v>0</v>
      </c>
      <c r="H28" s="743">
        <f t="shared" ref="H28:H37" si="10">D28/12*3</f>
        <v>0</v>
      </c>
      <c r="I28" s="259">
        <f t="shared" si="1"/>
        <v>0</v>
      </c>
      <c r="J28" s="584" t="str">
        <f t="shared" si="2"/>
        <v/>
      </c>
      <c r="K28" s="745">
        <f>D28</f>
        <v>0</v>
      </c>
    </row>
    <row r="29" spans="1:11" ht="12.75" customHeight="1" x14ac:dyDescent="0.2">
      <c r="A29" s="583" t="s">
        <v>1272</v>
      </c>
      <c r="B29" s="170"/>
      <c r="C29" s="758"/>
      <c r="D29" s="755">
        <v>0</v>
      </c>
      <c r="E29" s="743">
        <v>0</v>
      </c>
      <c r="F29" s="743">
        <v>0</v>
      </c>
      <c r="G29" s="743">
        <v>0</v>
      </c>
      <c r="H29" s="743">
        <f t="shared" si="10"/>
        <v>0</v>
      </c>
      <c r="I29" s="259">
        <f t="shared" si="1"/>
        <v>0</v>
      </c>
      <c r="J29" s="584" t="str">
        <f t="shared" si="2"/>
        <v/>
      </c>
      <c r="K29" s="745">
        <f t="shared" ref="K29:K37" si="11">D29</f>
        <v>0</v>
      </c>
    </row>
    <row r="30" spans="1:11" ht="12.75" customHeight="1" x14ac:dyDescent="0.2">
      <c r="A30" s="583" t="s">
        <v>1273</v>
      </c>
      <c r="B30" s="170"/>
      <c r="C30" s="758"/>
      <c r="D30" s="755">
        <v>0</v>
      </c>
      <c r="E30" s="743">
        <v>0</v>
      </c>
      <c r="F30" s="743">
        <v>0</v>
      </c>
      <c r="G30" s="743">
        <v>0</v>
      </c>
      <c r="H30" s="743">
        <f t="shared" si="10"/>
        <v>0</v>
      </c>
      <c r="I30" s="259">
        <f t="shared" si="1"/>
        <v>0</v>
      </c>
      <c r="J30" s="584" t="str">
        <f t="shared" si="2"/>
        <v/>
      </c>
      <c r="K30" s="745">
        <f t="shared" si="11"/>
        <v>0</v>
      </c>
    </row>
    <row r="31" spans="1:11" ht="12.75" customHeight="1" x14ac:dyDescent="0.2">
      <c r="A31" s="583" t="s">
        <v>1274</v>
      </c>
      <c r="B31" s="170"/>
      <c r="C31" s="758"/>
      <c r="D31" s="755">
        <v>0</v>
      </c>
      <c r="E31" s="743">
        <v>0</v>
      </c>
      <c r="F31" s="743">
        <v>0</v>
      </c>
      <c r="G31" s="743">
        <v>0</v>
      </c>
      <c r="H31" s="743">
        <f t="shared" si="10"/>
        <v>0</v>
      </c>
      <c r="I31" s="259">
        <f t="shared" si="1"/>
        <v>0</v>
      </c>
      <c r="J31" s="584" t="str">
        <f t="shared" si="2"/>
        <v/>
      </c>
      <c r="K31" s="745">
        <f t="shared" si="11"/>
        <v>0</v>
      </c>
    </row>
    <row r="32" spans="1:11" ht="12.75" customHeight="1" x14ac:dyDescent="0.2">
      <c r="A32" s="583" t="s">
        <v>1275</v>
      </c>
      <c r="B32" s="170"/>
      <c r="C32" s="758"/>
      <c r="D32" s="755">
        <v>0</v>
      </c>
      <c r="E32" s="743">
        <v>0</v>
      </c>
      <c r="F32" s="743">
        <v>0</v>
      </c>
      <c r="G32" s="743">
        <v>0</v>
      </c>
      <c r="H32" s="743">
        <f t="shared" si="10"/>
        <v>0</v>
      </c>
      <c r="I32" s="259">
        <f t="shared" si="1"/>
        <v>0</v>
      </c>
      <c r="J32" s="584" t="str">
        <f t="shared" si="2"/>
        <v/>
      </c>
      <c r="K32" s="745">
        <f t="shared" si="11"/>
        <v>0</v>
      </c>
    </row>
    <row r="33" spans="1:11" ht="12.75" customHeight="1" x14ac:dyDescent="0.2">
      <c r="A33" s="583" t="s">
        <v>1276</v>
      </c>
      <c r="B33" s="170"/>
      <c r="C33" s="758"/>
      <c r="D33" s="755">
        <v>0</v>
      </c>
      <c r="E33" s="743">
        <v>0</v>
      </c>
      <c r="F33" s="743">
        <v>0</v>
      </c>
      <c r="G33" s="743">
        <v>0</v>
      </c>
      <c r="H33" s="743">
        <f t="shared" si="10"/>
        <v>0</v>
      </c>
      <c r="I33" s="259">
        <f t="shared" si="1"/>
        <v>0</v>
      </c>
      <c r="J33" s="584" t="str">
        <f t="shared" si="2"/>
        <v/>
      </c>
      <c r="K33" s="745">
        <f t="shared" si="11"/>
        <v>0</v>
      </c>
    </row>
    <row r="34" spans="1:11" ht="12.75" customHeight="1" x14ac:dyDescent="0.2">
      <c r="A34" s="583" t="s">
        <v>1277</v>
      </c>
      <c r="B34" s="170"/>
      <c r="C34" s="758"/>
      <c r="D34" s="755">
        <v>0</v>
      </c>
      <c r="E34" s="743">
        <v>0</v>
      </c>
      <c r="F34" s="743">
        <v>0</v>
      </c>
      <c r="G34" s="743">
        <v>0</v>
      </c>
      <c r="H34" s="743">
        <f t="shared" si="10"/>
        <v>0</v>
      </c>
      <c r="I34" s="259">
        <f t="shared" si="1"/>
        <v>0</v>
      </c>
      <c r="J34" s="584" t="str">
        <f t="shared" si="2"/>
        <v/>
      </c>
      <c r="K34" s="745">
        <v>0</v>
      </c>
    </row>
    <row r="35" spans="1:11" ht="12.75" customHeight="1" x14ac:dyDescent="0.2">
      <c r="A35" s="583" t="s">
        <v>1278</v>
      </c>
      <c r="B35" s="170"/>
      <c r="C35" s="758">
        <v>209236654.32799998</v>
      </c>
      <c r="D35" s="755">
        <v>335480100</v>
      </c>
      <c r="E35" s="743">
        <v>322615104</v>
      </c>
      <c r="F35" s="743">
        <v>22087272.841499999</v>
      </c>
      <c r="G35" s="743">
        <v>96785189.726000071</v>
      </c>
      <c r="H35" s="743">
        <f>E35/12*5</f>
        <v>134422960</v>
      </c>
      <c r="I35" s="259">
        <f t="shared" si="1"/>
        <v>37637770.273999929</v>
      </c>
      <c r="J35" s="584">
        <f t="shared" si="2"/>
        <v>0.2799951010898728</v>
      </c>
      <c r="K35" s="745">
        <v>322615104</v>
      </c>
    </row>
    <row r="36" spans="1:11" ht="12.75" customHeight="1" x14ac:dyDescent="0.2">
      <c r="A36" s="583" t="s">
        <v>1279</v>
      </c>
      <c r="B36" s="170"/>
      <c r="C36" s="758"/>
      <c r="D36" s="755">
        <v>0</v>
      </c>
      <c r="E36" s="743">
        <v>0</v>
      </c>
      <c r="F36" s="743">
        <v>0</v>
      </c>
      <c r="G36" s="743">
        <v>0</v>
      </c>
      <c r="H36" s="743">
        <f t="shared" si="10"/>
        <v>0</v>
      </c>
      <c r="I36" s="259">
        <f t="shared" si="1"/>
        <v>0</v>
      </c>
      <c r="J36" s="584" t="str">
        <f t="shared" si="2"/>
        <v/>
      </c>
      <c r="K36" s="745">
        <f t="shared" si="11"/>
        <v>0</v>
      </c>
    </row>
    <row r="37" spans="1:11" ht="12.75" customHeight="1" x14ac:dyDescent="0.2">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
      <c r="A38" s="520" t="s">
        <v>1280</v>
      </c>
      <c r="B38" s="170"/>
      <c r="C38" s="657">
        <f t="shared" ref="C38:H38" si="12">SUM(C39:C44)</f>
        <v>178551370.0205</v>
      </c>
      <c r="D38" s="658">
        <f t="shared" si="12"/>
        <v>176046835</v>
      </c>
      <c r="E38" s="411">
        <f t="shared" si="12"/>
        <v>176046840</v>
      </c>
      <c r="F38" s="411">
        <f t="shared" si="12"/>
        <v>30701833.762499999</v>
      </c>
      <c r="G38" s="411">
        <f t="shared" si="12"/>
        <v>141580427.9975</v>
      </c>
      <c r="H38" s="411">
        <f t="shared" si="12"/>
        <v>73352850</v>
      </c>
      <c r="I38" s="259">
        <f t="shared" ref="I38:I44" si="13">H38-G38</f>
        <v>-68227577.997500002</v>
      </c>
      <c r="J38" s="584">
        <f t="shared" ref="J38:J44" si="14">IF(I38=0,"",I38/H38)</f>
        <v>-0.93012852257955903</v>
      </c>
      <c r="K38" s="651">
        <f>SUM(K39:K44)</f>
        <v>176046835</v>
      </c>
    </row>
    <row r="39" spans="1:11" ht="12.75" customHeight="1" x14ac:dyDescent="0.2">
      <c r="A39" s="583" t="s">
        <v>1281</v>
      </c>
      <c r="B39" s="170"/>
      <c r="C39" s="758"/>
      <c r="D39" s="755">
        <v>0</v>
      </c>
      <c r="E39" s="743">
        <v>0</v>
      </c>
      <c r="F39" s="743">
        <v>0</v>
      </c>
      <c r="G39" s="743">
        <v>0</v>
      </c>
      <c r="H39" s="743">
        <f t="shared" ref="H39:H44" si="15">E39/12*5</f>
        <v>0</v>
      </c>
      <c r="I39" s="259">
        <f t="shared" si="13"/>
        <v>0</v>
      </c>
      <c r="J39" s="584" t="str">
        <f t="shared" si="14"/>
        <v/>
      </c>
      <c r="K39" s="745">
        <f>D39</f>
        <v>0</v>
      </c>
    </row>
    <row r="40" spans="1:11" ht="12.75" customHeight="1" x14ac:dyDescent="0.2">
      <c r="A40" s="583" t="s">
        <v>141</v>
      </c>
      <c r="B40" s="170"/>
      <c r="C40" s="758"/>
      <c r="D40" s="755">
        <v>0</v>
      </c>
      <c r="E40" s="743"/>
      <c r="F40" s="743">
        <v>0</v>
      </c>
      <c r="G40" s="743">
        <v>0</v>
      </c>
      <c r="H40" s="743">
        <f t="shared" si="15"/>
        <v>0</v>
      </c>
      <c r="I40" s="259">
        <f>H40-G40</f>
        <v>0</v>
      </c>
      <c r="J40" s="584" t="str">
        <f>IF(I40=0,"",I40/H40)</f>
        <v/>
      </c>
      <c r="K40" s="745"/>
    </row>
    <row r="41" spans="1:11" ht="12.75" customHeight="1" x14ac:dyDescent="0.2">
      <c r="A41" s="583" t="s">
        <v>1282</v>
      </c>
      <c r="B41" s="170"/>
      <c r="C41" s="758">
        <v>178551370.0205</v>
      </c>
      <c r="D41" s="755">
        <v>176046835</v>
      </c>
      <c r="E41" s="743">
        <v>176046840</v>
      </c>
      <c r="F41" s="743">
        <v>30701833.762499999</v>
      </c>
      <c r="G41" s="743">
        <f>110878594.235+F41</f>
        <v>141580427.9975</v>
      </c>
      <c r="H41" s="743">
        <f t="shared" si="15"/>
        <v>73352850</v>
      </c>
      <c r="I41" s="259">
        <f>H41-G41</f>
        <v>-68227577.997500002</v>
      </c>
      <c r="J41" s="584">
        <f>IF(I41=0,"",I41/H41)</f>
        <v>-0.93012852257955903</v>
      </c>
      <c r="K41" s="745">
        <v>176046835</v>
      </c>
    </row>
    <row r="42" spans="1:11" ht="12.75" customHeight="1" x14ac:dyDescent="0.2">
      <c r="A42" s="583" t="s">
        <v>1283</v>
      </c>
      <c r="B42" s="170"/>
      <c r="C42" s="758"/>
      <c r="D42" s="755">
        <v>0</v>
      </c>
      <c r="E42" s="743">
        <v>0</v>
      </c>
      <c r="F42" s="743">
        <v>0</v>
      </c>
      <c r="G42" s="743">
        <v>0</v>
      </c>
      <c r="H42" s="743">
        <f t="shared" si="15"/>
        <v>0</v>
      </c>
      <c r="I42" s="259">
        <f>H42-G42</f>
        <v>0</v>
      </c>
      <c r="J42" s="584" t="str">
        <f>IF(I42=0,"",I42/H42)</f>
        <v/>
      </c>
      <c r="K42" s="745">
        <f>D42</f>
        <v>0</v>
      </c>
    </row>
    <row r="43" spans="1:11" ht="12.75" customHeight="1" x14ac:dyDescent="0.2">
      <c r="A43" s="583" t="s">
        <v>1284</v>
      </c>
      <c r="B43" s="170"/>
      <c r="C43" s="758"/>
      <c r="D43" s="755">
        <v>0</v>
      </c>
      <c r="E43" s="743">
        <v>0</v>
      </c>
      <c r="F43" s="743">
        <v>0</v>
      </c>
      <c r="G43" s="743">
        <v>0</v>
      </c>
      <c r="H43" s="743">
        <f t="shared" si="15"/>
        <v>0</v>
      </c>
      <c r="I43" s="259">
        <f t="shared" si="13"/>
        <v>0</v>
      </c>
      <c r="J43" s="584" t="str">
        <f t="shared" si="14"/>
        <v/>
      </c>
      <c r="K43" s="745">
        <f>D43</f>
        <v>0</v>
      </c>
    </row>
    <row r="44" spans="1:11" ht="12.75" customHeight="1" x14ac:dyDescent="0.2">
      <c r="A44" s="583" t="s">
        <v>1256</v>
      </c>
      <c r="B44" s="170"/>
      <c r="C44" s="758"/>
      <c r="D44" s="755">
        <v>0</v>
      </c>
      <c r="E44" s="743">
        <v>0</v>
      </c>
      <c r="F44" s="743">
        <v>0</v>
      </c>
      <c r="G44" s="743">
        <v>0</v>
      </c>
      <c r="H44" s="743">
        <f t="shared" si="15"/>
        <v>0</v>
      </c>
      <c r="I44" s="259">
        <f t="shared" si="13"/>
        <v>0</v>
      </c>
      <c r="J44" s="584" t="str">
        <f t="shared" si="14"/>
        <v/>
      </c>
      <c r="K44" s="745">
        <f>D44</f>
        <v>0</v>
      </c>
    </row>
    <row r="45" spans="1:11" ht="12.75" customHeight="1" x14ac:dyDescent="0.2">
      <c r="A45" s="520" t="s">
        <v>1285</v>
      </c>
      <c r="B45" s="170"/>
      <c r="C45" s="657">
        <f t="shared" ref="C45:H45" si="16">SUM(C46:C52)</f>
        <v>0</v>
      </c>
      <c r="D45" s="658">
        <f t="shared" si="16"/>
        <v>13378400</v>
      </c>
      <c r="E45" s="411">
        <f t="shared" si="16"/>
        <v>6878408</v>
      </c>
      <c r="F45" s="411">
        <f t="shared" si="16"/>
        <v>0</v>
      </c>
      <c r="G45" s="411">
        <f t="shared" si="16"/>
        <v>1087716</v>
      </c>
      <c r="H45" s="411">
        <f t="shared" si="16"/>
        <v>2866003.333333333</v>
      </c>
      <c r="I45" s="259">
        <f t="shared" ref="I45:I68" si="17">H45-G45</f>
        <v>1778287.333333333</v>
      </c>
      <c r="J45" s="584">
        <f t="shared" ref="J45:J68" si="18">IF(I45=0,"",I45/H45)</f>
        <v>0.62047636604284007</v>
      </c>
      <c r="K45" s="651">
        <f>SUM(K46:K52)</f>
        <v>6878408</v>
      </c>
    </row>
    <row r="46" spans="1:11" ht="12.75" customHeight="1" x14ac:dyDescent="0.2">
      <c r="A46" s="583" t="s">
        <v>1286</v>
      </c>
      <c r="B46" s="170"/>
      <c r="C46" s="758"/>
      <c r="D46" s="755">
        <v>0</v>
      </c>
      <c r="E46" s="743">
        <v>0</v>
      </c>
      <c r="F46" s="743">
        <v>0</v>
      </c>
      <c r="G46" s="743">
        <v>0</v>
      </c>
      <c r="H46" s="743">
        <f t="shared" ref="H46:H52" si="19">E46/12*5</f>
        <v>0</v>
      </c>
      <c r="I46" s="259">
        <f t="shared" si="17"/>
        <v>0</v>
      </c>
      <c r="J46" s="584" t="str">
        <f t="shared" si="18"/>
        <v/>
      </c>
      <c r="K46" s="745">
        <f>D46</f>
        <v>0</v>
      </c>
    </row>
    <row r="47" spans="1:11" ht="12.75" customHeight="1" x14ac:dyDescent="0.2">
      <c r="A47" s="583" t="s">
        <v>1287</v>
      </c>
      <c r="B47" s="170"/>
      <c r="C47" s="758"/>
      <c r="D47" s="755">
        <v>13378400</v>
      </c>
      <c r="E47" s="743">
        <v>6878408</v>
      </c>
      <c r="F47" s="743">
        <v>0</v>
      </c>
      <c r="G47" s="743">
        <v>1087716</v>
      </c>
      <c r="H47" s="743">
        <f t="shared" si="19"/>
        <v>2866003.333333333</v>
      </c>
      <c r="I47" s="259">
        <f t="shared" si="17"/>
        <v>1778287.333333333</v>
      </c>
      <c r="J47" s="584">
        <f t="shared" si="18"/>
        <v>0.62047636604284007</v>
      </c>
      <c r="K47" s="745">
        <v>6878408</v>
      </c>
    </row>
    <row r="48" spans="1:11" ht="12.75" customHeight="1" x14ac:dyDescent="0.2">
      <c r="A48" s="583" t="s">
        <v>1288</v>
      </c>
      <c r="B48" s="170"/>
      <c r="C48" s="758"/>
      <c r="D48" s="755">
        <v>0</v>
      </c>
      <c r="E48" s="743">
        <v>0</v>
      </c>
      <c r="F48" s="743">
        <v>0</v>
      </c>
      <c r="G48" s="743">
        <v>0</v>
      </c>
      <c r="H48" s="743">
        <f t="shared" si="19"/>
        <v>0</v>
      </c>
      <c r="I48" s="259">
        <f>H48-G48</f>
        <v>0</v>
      </c>
      <c r="J48" s="584" t="str">
        <f>IF(I48=0,"",I48/H48)</f>
        <v/>
      </c>
      <c r="K48" s="745">
        <f t="shared" ref="K48:K52" si="20">D48</f>
        <v>0</v>
      </c>
    </row>
    <row r="49" spans="1:11" ht="12.75" customHeight="1" x14ac:dyDescent="0.2">
      <c r="A49" s="583" t="s">
        <v>1289</v>
      </c>
      <c r="B49" s="170"/>
      <c r="C49" s="758"/>
      <c r="D49" s="755">
        <v>0</v>
      </c>
      <c r="E49" s="743">
        <v>0</v>
      </c>
      <c r="F49" s="743">
        <v>0</v>
      </c>
      <c r="G49" s="743">
        <v>0</v>
      </c>
      <c r="H49" s="743">
        <f t="shared" si="19"/>
        <v>0</v>
      </c>
      <c r="I49" s="259">
        <f t="shared" si="17"/>
        <v>0</v>
      </c>
      <c r="J49" s="584" t="str">
        <f t="shared" si="18"/>
        <v/>
      </c>
      <c r="K49" s="745">
        <f t="shared" si="20"/>
        <v>0</v>
      </c>
    </row>
    <row r="50" spans="1:11" ht="12.75" customHeight="1" x14ac:dyDescent="0.2">
      <c r="A50" s="583" t="s">
        <v>1290</v>
      </c>
      <c r="B50" s="170"/>
      <c r="C50" s="758"/>
      <c r="D50" s="755">
        <v>0</v>
      </c>
      <c r="E50" s="743">
        <v>0</v>
      </c>
      <c r="F50" s="743">
        <v>0</v>
      </c>
      <c r="G50" s="743">
        <v>0</v>
      </c>
      <c r="H50" s="743">
        <f t="shared" si="19"/>
        <v>0</v>
      </c>
      <c r="I50" s="259">
        <f t="shared" si="17"/>
        <v>0</v>
      </c>
      <c r="J50" s="584" t="str">
        <f t="shared" si="18"/>
        <v/>
      </c>
      <c r="K50" s="745">
        <f t="shared" si="20"/>
        <v>0</v>
      </c>
    </row>
    <row r="51" spans="1:11" ht="12.75" customHeight="1" x14ac:dyDescent="0.2">
      <c r="A51" s="583" t="s">
        <v>1291</v>
      </c>
      <c r="B51" s="170"/>
      <c r="C51" s="758"/>
      <c r="D51" s="755">
        <v>0</v>
      </c>
      <c r="E51" s="743">
        <v>0</v>
      </c>
      <c r="F51" s="743">
        <v>0</v>
      </c>
      <c r="G51" s="743">
        <v>0</v>
      </c>
      <c r="H51" s="743">
        <f t="shared" si="19"/>
        <v>0</v>
      </c>
      <c r="I51" s="259">
        <f t="shared" si="17"/>
        <v>0</v>
      </c>
      <c r="J51" s="584" t="str">
        <f t="shared" si="18"/>
        <v/>
      </c>
      <c r="K51" s="745">
        <f>E51</f>
        <v>0</v>
      </c>
    </row>
    <row r="52" spans="1:11" ht="12.75" customHeight="1" x14ac:dyDescent="0.2">
      <c r="A52" s="583" t="s">
        <v>1256</v>
      </c>
      <c r="B52" s="170"/>
      <c r="C52" s="758"/>
      <c r="D52" s="755">
        <v>0</v>
      </c>
      <c r="E52" s="743">
        <v>0</v>
      </c>
      <c r="F52" s="743">
        <v>0</v>
      </c>
      <c r="G52" s="743">
        <v>0</v>
      </c>
      <c r="H52" s="743">
        <f t="shared" si="19"/>
        <v>0</v>
      </c>
      <c r="I52" s="259">
        <f t="shared" si="17"/>
        <v>0</v>
      </c>
      <c r="J52" s="584" t="str">
        <f t="shared" si="18"/>
        <v/>
      </c>
      <c r="K52" s="745">
        <f t="shared" si="20"/>
        <v>0</v>
      </c>
    </row>
    <row r="53" spans="1:11" ht="12.75" customHeight="1" x14ac:dyDescent="0.2">
      <c r="A53" s="521" t="s">
        <v>1292</v>
      </c>
      <c r="B53" s="170"/>
      <c r="C53" s="657">
        <f t="shared" ref="C53:H53" si="21">SUM(C54:C62)</f>
        <v>0</v>
      </c>
      <c r="D53" s="658">
        <f t="shared" si="21"/>
        <v>0</v>
      </c>
      <c r="E53" s="411">
        <f t="shared" si="21"/>
        <v>0</v>
      </c>
      <c r="F53" s="411">
        <f t="shared" si="21"/>
        <v>0</v>
      </c>
      <c r="G53" s="411">
        <f t="shared" si="21"/>
        <v>0</v>
      </c>
      <c r="H53" s="411">
        <f t="shared" si="21"/>
        <v>0</v>
      </c>
      <c r="I53" s="259">
        <f t="shared" si="17"/>
        <v>0</v>
      </c>
      <c r="J53" s="584" t="str">
        <f t="shared" si="18"/>
        <v/>
      </c>
      <c r="K53" s="651">
        <f>SUM(K54:K62)</f>
        <v>0</v>
      </c>
    </row>
    <row r="54" spans="1:11" ht="12.75" customHeight="1" x14ac:dyDescent="0.2">
      <c r="A54" s="583" t="s">
        <v>1293</v>
      </c>
      <c r="B54" s="170"/>
      <c r="C54" s="758">
        <v>0</v>
      </c>
      <c r="D54" s="755">
        <v>0</v>
      </c>
      <c r="E54" s="743">
        <v>0</v>
      </c>
      <c r="F54" s="743">
        <v>0</v>
      </c>
      <c r="G54" s="743">
        <v>0</v>
      </c>
      <c r="H54" s="743">
        <v>0</v>
      </c>
      <c r="I54" s="259">
        <f t="shared" si="17"/>
        <v>0</v>
      </c>
      <c r="J54" s="584" t="str">
        <f t="shared" si="18"/>
        <v/>
      </c>
      <c r="K54" s="745">
        <v>0</v>
      </c>
    </row>
    <row r="55" spans="1:11" ht="12.75" customHeight="1" x14ac:dyDescent="0.2">
      <c r="A55" s="583" t="s">
        <v>1294</v>
      </c>
      <c r="B55" s="170"/>
      <c r="C55" s="758">
        <v>0</v>
      </c>
      <c r="D55" s="755">
        <v>0</v>
      </c>
      <c r="E55" s="743">
        <v>0</v>
      </c>
      <c r="F55" s="743">
        <v>0</v>
      </c>
      <c r="G55" s="743">
        <v>0</v>
      </c>
      <c r="H55" s="743">
        <v>0</v>
      </c>
      <c r="I55" s="259">
        <f t="shared" si="17"/>
        <v>0</v>
      </c>
      <c r="J55" s="584" t="str">
        <f t="shared" si="18"/>
        <v/>
      </c>
      <c r="K55" s="745">
        <v>0</v>
      </c>
    </row>
    <row r="56" spans="1:11" ht="12.75" customHeight="1" x14ac:dyDescent="0.2">
      <c r="A56" s="583" t="s">
        <v>1295</v>
      </c>
      <c r="B56" s="170"/>
      <c r="C56" s="758">
        <v>0</v>
      </c>
      <c r="D56" s="755">
        <v>0</v>
      </c>
      <c r="E56" s="743">
        <v>0</v>
      </c>
      <c r="F56" s="743">
        <v>0</v>
      </c>
      <c r="G56" s="743">
        <v>0</v>
      </c>
      <c r="H56" s="743">
        <v>0</v>
      </c>
      <c r="I56" s="259">
        <f t="shared" si="17"/>
        <v>0</v>
      </c>
      <c r="J56" s="584" t="str">
        <f t="shared" si="18"/>
        <v/>
      </c>
      <c r="K56" s="745">
        <v>0</v>
      </c>
    </row>
    <row r="57" spans="1:11" ht="12.75" customHeight="1" x14ac:dyDescent="0.2">
      <c r="A57" s="583" t="s">
        <v>1258</v>
      </c>
      <c r="B57" s="170"/>
      <c r="C57" s="758">
        <v>0</v>
      </c>
      <c r="D57" s="755">
        <v>0</v>
      </c>
      <c r="E57" s="743">
        <v>0</v>
      </c>
      <c r="F57" s="743">
        <v>0</v>
      </c>
      <c r="G57" s="743">
        <v>0</v>
      </c>
      <c r="H57" s="743">
        <v>0</v>
      </c>
      <c r="I57" s="259">
        <f t="shared" si="17"/>
        <v>0</v>
      </c>
      <c r="J57" s="584" t="str">
        <f t="shared" si="18"/>
        <v/>
      </c>
      <c r="K57" s="745">
        <v>0</v>
      </c>
    </row>
    <row r="58" spans="1:11" ht="12.75" customHeight="1" x14ac:dyDescent="0.2">
      <c r="A58" s="583" t="s">
        <v>1259</v>
      </c>
      <c r="B58" s="170"/>
      <c r="C58" s="758">
        <v>0</v>
      </c>
      <c r="D58" s="755">
        <v>0</v>
      </c>
      <c r="E58" s="743">
        <v>0</v>
      </c>
      <c r="F58" s="743">
        <v>0</v>
      </c>
      <c r="G58" s="743">
        <v>0</v>
      </c>
      <c r="H58" s="743">
        <v>0</v>
      </c>
      <c r="I58" s="259">
        <f t="shared" si="17"/>
        <v>0</v>
      </c>
      <c r="J58" s="584" t="str">
        <f t="shared" si="18"/>
        <v/>
      </c>
      <c r="K58" s="745">
        <v>0</v>
      </c>
    </row>
    <row r="59" spans="1:11" ht="12.75" customHeight="1" x14ac:dyDescent="0.2">
      <c r="A59" s="583" t="s">
        <v>1260</v>
      </c>
      <c r="B59" s="170"/>
      <c r="C59" s="758">
        <v>0</v>
      </c>
      <c r="D59" s="755">
        <v>0</v>
      </c>
      <c r="E59" s="743">
        <v>0</v>
      </c>
      <c r="F59" s="743">
        <v>0</v>
      </c>
      <c r="G59" s="743">
        <v>0</v>
      </c>
      <c r="H59" s="743">
        <v>0</v>
      </c>
      <c r="I59" s="259">
        <f t="shared" si="17"/>
        <v>0</v>
      </c>
      <c r="J59" s="584" t="str">
        <f t="shared" si="18"/>
        <v/>
      </c>
      <c r="K59" s="745">
        <v>0</v>
      </c>
    </row>
    <row r="60" spans="1:11" ht="12.75" customHeight="1" x14ac:dyDescent="0.2">
      <c r="A60" s="583" t="s">
        <v>1266</v>
      </c>
      <c r="B60" s="170"/>
      <c r="C60" s="758">
        <v>0</v>
      </c>
      <c r="D60" s="755">
        <v>0</v>
      </c>
      <c r="E60" s="743">
        <v>0</v>
      </c>
      <c r="F60" s="743">
        <v>0</v>
      </c>
      <c r="G60" s="743">
        <v>0</v>
      </c>
      <c r="H60" s="743">
        <v>0</v>
      </c>
      <c r="I60" s="259">
        <f t="shared" si="17"/>
        <v>0</v>
      </c>
      <c r="J60" s="584" t="str">
        <f t="shared" si="18"/>
        <v/>
      </c>
      <c r="K60" s="745">
        <v>0</v>
      </c>
    </row>
    <row r="61" spans="1:11" ht="12.75" customHeight="1" x14ac:dyDescent="0.2">
      <c r="A61" s="583" t="s">
        <v>1269</v>
      </c>
      <c r="B61" s="170"/>
      <c r="C61" s="758">
        <v>0</v>
      </c>
      <c r="D61" s="755">
        <v>0</v>
      </c>
      <c r="E61" s="743">
        <v>0</v>
      </c>
      <c r="F61" s="743">
        <v>0</v>
      </c>
      <c r="G61" s="743">
        <v>0</v>
      </c>
      <c r="H61" s="743">
        <v>0</v>
      </c>
      <c r="I61" s="259">
        <f t="shared" si="17"/>
        <v>0</v>
      </c>
      <c r="J61" s="584" t="str">
        <f t="shared" si="18"/>
        <v/>
      </c>
      <c r="K61" s="745">
        <v>0</v>
      </c>
    </row>
    <row r="62" spans="1:11" ht="12.75" customHeight="1" x14ac:dyDescent="0.2">
      <c r="A62" s="583" t="s">
        <v>1256</v>
      </c>
      <c r="B62" s="170"/>
      <c r="C62" s="758">
        <v>0</v>
      </c>
      <c r="D62" s="755">
        <v>0</v>
      </c>
      <c r="E62" s="743">
        <v>0</v>
      </c>
      <c r="F62" s="743">
        <v>0</v>
      </c>
      <c r="G62" s="743">
        <v>0</v>
      </c>
      <c r="H62" s="743">
        <v>0</v>
      </c>
      <c r="I62" s="259">
        <f t="shared" si="17"/>
        <v>0</v>
      </c>
      <c r="J62" s="584" t="str">
        <f t="shared" si="18"/>
        <v/>
      </c>
      <c r="K62" s="745">
        <v>0</v>
      </c>
    </row>
    <row r="63" spans="1:11" ht="12.75" customHeight="1" x14ac:dyDescent="0.2">
      <c r="A63" s="520" t="s">
        <v>1296</v>
      </c>
      <c r="B63" s="170"/>
      <c r="C63" s="657">
        <f t="shared" ref="C63:H63" si="22">SUM(C64:C68)</f>
        <v>0</v>
      </c>
      <c r="D63" s="658">
        <f t="shared" si="22"/>
        <v>0</v>
      </c>
      <c r="E63" s="411">
        <f t="shared" si="22"/>
        <v>0</v>
      </c>
      <c r="F63" s="411">
        <f t="shared" si="22"/>
        <v>0</v>
      </c>
      <c r="G63" s="411">
        <f t="shared" si="22"/>
        <v>0</v>
      </c>
      <c r="H63" s="411">
        <f t="shared" si="22"/>
        <v>0</v>
      </c>
      <c r="I63" s="259">
        <f t="shared" si="17"/>
        <v>0</v>
      </c>
      <c r="J63" s="584" t="str">
        <f t="shared" si="18"/>
        <v/>
      </c>
      <c r="K63" s="651">
        <f>SUM(K64:K68)</f>
        <v>0</v>
      </c>
    </row>
    <row r="64" spans="1:11" ht="12.75" customHeight="1" x14ac:dyDescent="0.2">
      <c r="A64" s="583" t="s">
        <v>1297</v>
      </c>
      <c r="B64" s="170"/>
      <c r="C64" s="758">
        <v>0</v>
      </c>
      <c r="D64" s="755">
        <v>0</v>
      </c>
      <c r="E64" s="743">
        <v>0</v>
      </c>
      <c r="F64" s="743">
        <v>0</v>
      </c>
      <c r="G64" s="743">
        <v>0</v>
      </c>
      <c r="H64" s="743">
        <v>0</v>
      </c>
      <c r="I64" s="259">
        <f t="shared" si="17"/>
        <v>0</v>
      </c>
      <c r="J64" s="584" t="str">
        <f t="shared" si="18"/>
        <v/>
      </c>
      <c r="K64" s="745">
        <v>0</v>
      </c>
    </row>
    <row r="65" spans="1:11" ht="12.75" customHeight="1" x14ac:dyDescent="0.2">
      <c r="A65" s="583" t="s">
        <v>1298</v>
      </c>
      <c r="B65" s="170"/>
      <c r="C65" s="758">
        <v>0</v>
      </c>
      <c r="D65" s="755">
        <v>0</v>
      </c>
      <c r="E65" s="743">
        <v>0</v>
      </c>
      <c r="F65" s="743">
        <v>0</v>
      </c>
      <c r="G65" s="743">
        <v>0</v>
      </c>
      <c r="H65" s="743">
        <v>0</v>
      </c>
      <c r="I65" s="259">
        <f t="shared" si="17"/>
        <v>0</v>
      </c>
      <c r="J65" s="584" t="str">
        <f t="shared" si="18"/>
        <v/>
      </c>
      <c r="K65" s="745">
        <v>0</v>
      </c>
    </row>
    <row r="66" spans="1:11" ht="12.75" customHeight="1" x14ac:dyDescent="0.2">
      <c r="A66" s="583" t="s">
        <v>1299</v>
      </c>
      <c r="B66" s="170"/>
      <c r="C66" s="758">
        <v>0</v>
      </c>
      <c r="D66" s="755">
        <v>0</v>
      </c>
      <c r="E66" s="743">
        <v>0</v>
      </c>
      <c r="F66" s="743">
        <v>0</v>
      </c>
      <c r="G66" s="743">
        <v>0</v>
      </c>
      <c r="H66" s="743">
        <v>0</v>
      </c>
      <c r="I66" s="259">
        <f t="shared" si="17"/>
        <v>0</v>
      </c>
      <c r="J66" s="584" t="str">
        <f t="shared" si="18"/>
        <v/>
      </c>
      <c r="K66" s="745">
        <v>0</v>
      </c>
    </row>
    <row r="67" spans="1:11" ht="12.75" customHeight="1" x14ac:dyDescent="0.2">
      <c r="A67" s="583" t="s">
        <v>1300</v>
      </c>
      <c r="B67" s="170"/>
      <c r="C67" s="758">
        <v>0</v>
      </c>
      <c r="D67" s="755">
        <v>0</v>
      </c>
      <c r="E67" s="743">
        <v>0</v>
      </c>
      <c r="F67" s="743">
        <v>0</v>
      </c>
      <c r="G67" s="743">
        <v>0</v>
      </c>
      <c r="H67" s="743">
        <v>0</v>
      </c>
      <c r="I67" s="259">
        <f t="shared" si="17"/>
        <v>0</v>
      </c>
      <c r="J67" s="584" t="str">
        <f t="shared" si="18"/>
        <v/>
      </c>
      <c r="K67" s="745">
        <v>0</v>
      </c>
    </row>
    <row r="68" spans="1:11" ht="12.75" customHeight="1" x14ac:dyDescent="0.2">
      <c r="A68" s="583" t="s">
        <v>1256</v>
      </c>
      <c r="B68" s="170"/>
      <c r="C68" s="758">
        <v>0</v>
      </c>
      <c r="D68" s="755">
        <v>0</v>
      </c>
      <c r="E68" s="743">
        <v>0</v>
      </c>
      <c r="F68" s="743">
        <v>0</v>
      </c>
      <c r="G68" s="743">
        <v>0</v>
      </c>
      <c r="H68" s="743">
        <v>0</v>
      </c>
      <c r="I68" s="259">
        <f t="shared" si="17"/>
        <v>0</v>
      </c>
      <c r="J68" s="584" t="str">
        <f t="shared" si="18"/>
        <v/>
      </c>
      <c r="K68" s="745">
        <v>0</v>
      </c>
    </row>
    <row r="69" spans="1:11" ht="12.75" customHeight="1" x14ac:dyDescent="0.2">
      <c r="A69" s="521" t="s">
        <v>1301</v>
      </c>
      <c r="B69" s="170"/>
      <c r="C69" s="657">
        <f t="shared" ref="C69:H69" si="23">SUM(C70:C73)</f>
        <v>0</v>
      </c>
      <c r="D69" s="658">
        <f t="shared" si="23"/>
        <v>268000.00000000006</v>
      </c>
      <c r="E69" s="411">
        <f t="shared" si="23"/>
        <v>0</v>
      </c>
      <c r="F69" s="411">
        <f t="shared" si="23"/>
        <v>0</v>
      </c>
      <c r="G69" s="411">
        <f t="shared" si="23"/>
        <v>0</v>
      </c>
      <c r="H69" s="411">
        <f t="shared" si="23"/>
        <v>0</v>
      </c>
      <c r="I69" s="259">
        <f>H69-G69</f>
        <v>0</v>
      </c>
      <c r="J69" s="584" t="str">
        <f t="shared" ref="J69:J75" si="24">IF(I69=0,"",I69/H69)</f>
        <v/>
      </c>
      <c r="K69" s="651">
        <f>SUM(K70:K73)</f>
        <v>0</v>
      </c>
    </row>
    <row r="70" spans="1:11" ht="12.75" customHeight="1" x14ac:dyDescent="0.2">
      <c r="A70" s="583" t="s">
        <v>1302</v>
      </c>
      <c r="B70" s="170"/>
      <c r="C70" s="758">
        <v>0</v>
      </c>
      <c r="D70" s="755">
        <v>0</v>
      </c>
      <c r="E70" s="743">
        <v>0</v>
      </c>
      <c r="F70" s="743">
        <v>0</v>
      </c>
      <c r="G70" s="743">
        <v>0</v>
      </c>
      <c r="H70" s="743">
        <v>0</v>
      </c>
      <c r="I70" s="259">
        <f>H70-G70</f>
        <v>0</v>
      </c>
      <c r="J70" s="584" t="str">
        <f t="shared" si="24"/>
        <v/>
      </c>
      <c r="K70" s="745">
        <v>0</v>
      </c>
    </row>
    <row r="71" spans="1:11" ht="12.75" customHeight="1" x14ac:dyDescent="0.2">
      <c r="A71" s="583" t="s">
        <v>1303</v>
      </c>
      <c r="B71" s="170"/>
      <c r="C71" s="758">
        <v>0</v>
      </c>
      <c r="D71" s="755">
        <v>0</v>
      </c>
      <c r="E71" s="743">
        <v>0</v>
      </c>
      <c r="F71" s="743">
        <v>0</v>
      </c>
      <c r="G71" s="743">
        <v>0</v>
      </c>
      <c r="H71" s="743">
        <v>0</v>
      </c>
      <c r="I71" s="259">
        <f>H71-G71</f>
        <v>0</v>
      </c>
      <c r="J71" s="584" t="str">
        <f t="shared" si="24"/>
        <v/>
      </c>
      <c r="K71" s="745">
        <v>0</v>
      </c>
    </row>
    <row r="72" spans="1:11" ht="12.75" customHeight="1" x14ac:dyDescent="0.2">
      <c r="A72" s="583" t="s">
        <v>1304</v>
      </c>
      <c r="B72" s="170"/>
      <c r="C72" s="758">
        <v>0</v>
      </c>
      <c r="D72" s="755">
        <v>0</v>
      </c>
      <c r="E72" s="743">
        <v>0</v>
      </c>
      <c r="F72" s="743">
        <v>0</v>
      </c>
      <c r="G72" s="743">
        <v>0</v>
      </c>
      <c r="H72" s="743">
        <v>0</v>
      </c>
      <c r="I72" s="259">
        <f>H72-G72</f>
        <v>0</v>
      </c>
      <c r="J72" s="584" t="str">
        <f t="shared" si="24"/>
        <v/>
      </c>
      <c r="K72" s="745">
        <v>0</v>
      </c>
    </row>
    <row r="73" spans="1:11" ht="12.75" customHeight="1" x14ac:dyDescent="0.2">
      <c r="A73" s="583" t="s">
        <v>1256</v>
      </c>
      <c r="B73" s="170"/>
      <c r="C73" s="758">
        <v>0</v>
      </c>
      <c r="D73" s="755">
        <v>268000.00000000006</v>
      </c>
      <c r="E73" s="743">
        <v>0</v>
      </c>
      <c r="F73" s="743">
        <v>0</v>
      </c>
      <c r="G73" s="743">
        <v>0</v>
      </c>
      <c r="H73" s="980">
        <f>E73/12*5</f>
        <v>0</v>
      </c>
      <c r="I73" s="259">
        <f>H73-G73</f>
        <v>0</v>
      </c>
      <c r="J73" s="584" t="str">
        <f t="shared" si="24"/>
        <v/>
      </c>
      <c r="K73" s="745">
        <v>0</v>
      </c>
    </row>
    <row r="74" spans="1:11" ht="5.25" customHeight="1" x14ac:dyDescent="0.2">
      <c r="A74" s="583"/>
      <c r="B74" s="170"/>
      <c r="C74" s="135"/>
      <c r="D74" s="47"/>
      <c r="E74" s="45"/>
      <c r="F74" s="45"/>
      <c r="G74" s="45"/>
      <c r="H74" s="45"/>
      <c r="I74" s="259"/>
      <c r="J74" s="584" t="str">
        <f t="shared" si="24"/>
        <v/>
      </c>
      <c r="K74" s="145"/>
    </row>
    <row r="75" spans="1:11" ht="12.75" customHeight="1" x14ac:dyDescent="0.2">
      <c r="A75" s="36" t="s">
        <v>1325</v>
      </c>
      <c r="B75" s="170"/>
      <c r="C75" s="585">
        <f t="shared" ref="C75:H75" si="25">+C76+C99</f>
        <v>372909775.48695356</v>
      </c>
      <c r="D75" s="586">
        <f t="shared" si="25"/>
        <v>293020450</v>
      </c>
      <c r="E75" s="587">
        <f t="shared" si="25"/>
        <v>281279444</v>
      </c>
      <c r="F75" s="587">
        <f t="shared" si="25"/>
        <v>8016885.8880000003</v>
      </c>
      <c r="G75" s="587">
        <f t="shared" si="25"/>
        <v>10297607.023499999</v>
      </c>
      <c r="H75" s="587">
        <f t="shared" si="25"/>
        <v>117199768.33333334</v>
      </c>
      <c r="I75" s="587">
        <f>H75-G75</f>
        <v>106902161.30983335</v>
      </c>
      <c r="J75" s="588">
        <f t="shared" si="24"/>
        <v>0.91213628516558076</v>
      </c>
      <c r="K75" s="589">
        <f>+K76+K99</f>
        <v>281279444</v>
      </c>
    </row>
    <row r="76" spans="1:11" ht="12.75" customHeight="1" x14ac:dyDescent="0.2">
      <c r="A76" s="521" t="s">
        <v>1305</v>
      </c>
      <c r="B76" s="170"/>
      <c r="C76" s="657">
        <f t="shared" ref="C76:H76" si="26">SUM(C77:C98)</f>
        <v>314674364.72836906</v>
      </c>
      <c r="D76" s="658">
        <f t="shared" si="26"/>
        <v>238480950</v>
      </c>
      <c r="E76" s="411">
        <f t="shared" si="26"/>
        <v>226739948</v>
      </c>
      <c r="F76" s="411">
        <f t="shared" si="26"/>
        <v>4298050.3880000003</v>
      </c>
      <c r="G76" s="411">
        <f t="shared" si="26"/>
        <v>4717996.7734999992</v>
      </c>
      <c r="H76" s="411">
        <f t="shared" si="26"/>
        <v>94474978.333333343</v>
      </c>
      <c r="I76" s="259">
        <f t="shared" ref="I76:I87" si="27">H76-G76</f>
        <v>89756981.559833348</v>
      </c>
      <c r="J76" s="584">
        <f t="shared" ref="J76:J87" si="28">IF(I76=0,"",I76/H76)</f>
        <v>0.95006088536105693</v>
      </c>
      <c r="K76" s="651">
        <f>SUM(K77:K98)</f>
        <v>226739948</v>
      </c>
    </row>
    <row r="77" spans="1:11" ht="12.75" customHeight="1" x14ac:dyDescent="0.2">
      <c r="A77" s="583" t="s">
        <v>1306</v>
      </c>
      <c r="B77" s="170"/>
      <c r="C77" s="758">
        <v>0</v>
      </c>
      <c r="D77" s="763">
        <v>4500000</v>
      </c>
      <c r="E77" s="743">
        <v>4500000</v>
      </c>
      <c r="F77" s="743">
        <v>0</v>
      </c>
      <c r="G77" s="743">
        <v>0</v>
      </c>
      <c r="H77" s="743">
        <f>E77/12*5</f>
        <v>1875000</v>
      </c>
      <c r="I77" s="45">
        <f t="shared" si="27"/>
        <v>1875000</v>
      </c>
      <c r="J77" s="125">
        <f t="shared" si="28"/>
        <v>1</v>
      </c>
      <c r="K77" s="745">
        <v>4500000</v>
      </c>
    </row>
    <row r="78" spans="1:11" ht="12.75" customHeight="1" x14ac:dyDescent="0.2">
      <c r="A78" s="583" t="s">
        <v>1307</v>
      </c>
      <c r="B78" s="170"/>
      <c r="C78" s="758"/>
      <c r="D78" s="763">
        <v>1000000</v>
      </c>
      <c r="E78" s="743">
        <v>1000000</v>
      </c>
      <c r="F78" s="743">
        <v>0</v>
      </c>
      <c r="G78" s="743">
        <v>0</v>
      </c>
      <c r="H78" s="743">
        <f t="shared" ref="H78:H98" si="29">E78/12*5</f>
        <v>416666.66666666663</v>
      </c>
      <c r="I78" s="45">
        <f t="shared" si="27"/>
        <v>416666.66666666663</v>
      </c>
      <c r="J78" s="125">
        <f t="shared" si="28"/>
        <v>1</v>
      </c>
      <c r="K78" s="745">
        <v>1000000</v>
      </c>
    </row>
    <row r="79" spans="1:11" ht="12.75" customHeight="1" x14ac:dyDescent="0.2">
      <c r="A79" s="583" t="s">
        <v>1308</v>
      </c>
      <c r="B79" s="170"/>
      <c r="C79" s="758"/>
      <c r="D79" s="763">
        <v>0</v>
      </c>
      <c r="E79" s="743">
        <v>0</v>
      </c>
      <c r="F79" s="743">
        <v>0</v>
      </c>
      <c r="G79" s="743">
        <v>0</v>
      </c>
      <c r="H79" s="743">
        <f t="shared" si="29"/>
        <v>0</v>
      </c>
      <c r="I79" s="45">
        <f t="shared" si="27"/>
        <v>0</v>
      </c>
      <c r="J79" s="125" t="str">
        <f t="shared" si="28"/>
        <v/>
      </c>
      <c r="K79" s="745">
        <v>0</v>
      </c>
    </row>
    <row r="80" spans="1:11" ht="12.75" customHeight="1" x14ac:dyDescent="0.2">
      <c r="A80" s="583" t="s">
        <v>1309</v>
      </c>
      <c r="B80" s="170"/>
      <c r="C80" s="758"/>
      <c r="D80" s="763">
        <v>0</v>
      </c>
      <c r="E80" s="743">
        <v>0</v>
      </c>
      <c r="F80" s="743">
        <v>0</v>
      </c>
      <c r="G80" s="743">
        <v>0</v>
      </c>
      <c r="H80" s="743">
        <f t="shared" si="29"/>
        <v>0</v>
      </c>
      <c r="I80" s="45">
        <f t="shared" si="27"/>
        <v>0</v>
      </c>
      <c r="J80" s="125" t="str">
        <f t="shared" si="28"/>
        <v/>
      </c>
      <c r="K80" s="745">
        <v>0</v>
      </c>
    </row>
    <row r="81" spans="1:11" ht="12.75" customHeight="1" x14ac:dyDescent="0.2">
      <c r="A81" s="583" t="s">
        <v>1310</v>
      </c>
      <c r="B81" s="170"/>
      <c r="C81" s="758"/>
      <c r="D81" s="763">
        <v>0</v>
      </c>
      <c r="E81" s="743">
        <v>0</v>
      </c>
      <c r="F81" s="743">
        <v>0</v>
      </c>
      <c r="G81" s="743">
        <v>0</v>
      </c>
      <c r="H81" s="743">
        <f t="shared" si="29"/>
        <v>0</v>
      </c>
      <c r="I81" s="45">
        <f t="shared" si="27"/>
        <v>0</v>
      </c>
      <c r="J81" s="125" t="str">
        <f t="shared" si="28"/>
        <v/>
      </c>
      <c r="K81" s="745">
        <v>0</v>
      </c>
    </row>
    <row r="82" spans="1:11" ht="12.75" customHeight="1" x14ac:dyDescent="0.2">
      <c r="A82" s="583" t="s">
        <v>1311</v>
      </c>
      <c r="B82" s="170"/>
      <c r="C82" s="758"/>
      <c r="D82" s="763">
        <v>3500000</v>
      </c>
      <c r="E82" s="743">
        <v>3500004</v>
      </c>
      <c r="F82" s="743">
        <v>0</v>
      </c>
      <c r="G82" s="743">
        <v>0</v>
      </c>
      <c r="H82" s="743">
        <f t="shared" si="29"/>
        <v>1458335</v>
      </c>
      <c r="I82" s="45">
        <f t="shared" si="27"/>
        <v>1458335</v>
      </c>
      <c r="J82" s="125">
        <f t="shared" si="28"/>
        <v>1</v>
      </c>
      <c r="K82" s="745">
        <v>3500004</v>
      </c>
    </row>
    <row r="83" spans="1:11" ht="12.75" customHeight="1" x14ac:dyDescent="0.2">
      <c r="A83" s="583" t="s">
        <v>1312</v>
      </c>
      <c r="B83" s="170"/>
      <c r="C83" s="758"/>
      <c r="D83" s="763">
        <v>0</v>
      </c>
      <c r="E83" s="743">
        <v>0</v>
      </c>
      <c r="F83" s="743">
        <v>0</v>
      </c>
      <c r="G83" s="743">
        <v>0</v>
      </c>
      <c r="H83" s="743">
        <f t="shared" si="29"/>
        <v>0</v>
      </c>
      <c r="I83" s="45">
        <f t="shared" si="27"/>
        <v>0</v>
      </c>
      <c r="J83" s="125" t="str">
        <f t="shared" si="28"/>
        <v/>
      </c>
      <c r="K83" s="745">
        <v>0</v>
      </c>
    </row>
    <row r="84" spans="1:11" ht="12.75" customHeight="1" x14ac:dyDescent="0.2">
      <c r="A84" s="583" t="s">
        <v>1313</v>
      </c>
      <c r="B84" s="170"/>
      <c r="C84" s="758"/>
      <c r="D84" s="763">
        <v>0</v>
      </c>
      <c r="E84" s="743">
        <v>0</v>
      </c>
      <c r="F84" s="743">
        <v>0</v>
      </c>
      <c r="G84" s="743">
        <v>0</v>
      </c>
      <c r="H84" s="743">
        <f t="shared" si="29"/>
        <v>0</v>
      </c>
      <c r="I84" s="45">
        <f t="shared" si="27"/>
        <v>0</v>
      </c>
      <c r="J84" s="125" t="str">
        <f t="shared" si="28"/>
        <v/>
      </c>
      <c r="K84" s="745">
        <v>0</v>
      </c>
    </row>
    <row r="85" spans="1:11" ht="12.75" customHeight="1" x14ac:dyDescent="0.2">
      <c r="A85" s="583" t="s">
        <v>1189</v>
      </c>
      <c r="B85" s="170"/>
      <c r="C85" s="758"/>
      <c r="D85" s="763">
        <v>0</v>
      </c>
      <c r="E85" s="743">
        <v>0</v>
      </c>
      <c r="F85" s="743">
        <v>0</v>
      </c>
      <c r="G85" s="743">
        <v>0</v>
      </c>
      <c r="H85" s="743">
        <f t="shared" si="29"/>
        <v>0</v>
      </c>
      <c r="I85" s="45">
        <f t="shared" si="27"/>
        <v>0</v>
      </c>
      <c r="J85" s="125" t="str">
        <f t="shared" si="28"/>
        <v/>
      </c>
      <c r="K85" s="745">
        <v>0</v>
      </c>
    </row>
    <row r="86" spans="1:11" ht="12.75" customHeight="1" x14ac:dyDescent="0.2">
      <c r="A86" s="583" t="s">
        <v>572</v>
      </c>
      <c r="B86" s="170"/>
      <c r="C86" s="758"/>
      <c r="D86" s="763">
        <v>0</v>
      </c>
      <c r="E86" s="743">
        <v>0</v>
      </c>
      <c r="F86" s="743">
        <v>0</v>
      </c>
      <c r="G86" s="743">
        <v>0</v>
      </c>
      <c r="H86" s="743">
        <f t="shared" si="29"/>
        <v>0</v>
      </c>
      <c r="I86" s="45">
        <f t="shared" si="27"/>
        <v>0</v>
      </c>
      <c r="J86" s="125" t="str">
        <f t="shared" si="28"/>
        <v/>
      </c>
      <c r="K86" s="745">
        <v>0</v>
      </c>
    </row>
    <row r="87" spans="1:11" ht="12.75" customHeight="1" x14ac:dyDescent="0.2">
      <c r="A87" s="583" t="s">
        <v>1314</v>
      </c>
      <c r="B87" s="170"/>
      <c r="C87" s="758"/>
      <c r="D87" s="763">
        <v>0</v>
      </c>
      <c r="E87" s="743">
        <v>0</v>
      </c>
      <c r="F87" s="743">
        <v>0</v>
      </c>
      <c r="G87" s="743">
        <v>0</v>
      </c>
      <c r="H87" s="743">
        <f t="shared" si="29"/>
        <v>0</v>
      </c>
      <c r="I87" s="45">
        <f t="shared" si="27"/>
        <v>0</v>
      </c>
      <c r="J87" s="125" t="str">
        <f t="shared" si="28"/>
        <v/>
      </c>
      <c r="K87" s="745">
        <v>0</v>
      </c>
    </row>
    <row r="88" spans="1:11" ht="12.75" customHeight="1" x14ac:dyDescent="0.2">
      <c r="A88" s="583" t="s">
        <v>173</v>
      </c>
      <c r="B88" s="170"/>
      <c r="C88" s="758">
        <v>1841665.4874999998</v>
      </c>
      <c r="D88" s="763">
        <v>11950750</v>
      </c>
      <c r="E88" s="743">
        <v>5450752</v>
      </c>
      <c r="F88" s="743"/>
      <c r="G88" s="743">
        <v>419946.38549999997</v>
      </c>
      <c r="H88" s="743">
        <f t="shared" si="29"/>
        <v>2271146.6666666665</v>
      </c>
      <c r="I88" s="45">
        <f t="shared" ref="I88:I133" si="30">H88-G88</f>
        <v>1851200.2811666667</v>
      </c>
      <c r="J88" s="125">
        <f t="shared" ref="J88:J119" si="31">IF(I88=0,"",I88/H88)</f>
        <v>0.81509499511260097</v>
      </c>
      <c r="K88" s="745">
        <v>5450752</v>
      </c>
    </row>
    <row r="89" spans="1:11" ht="12.75" customHeight="1" x14ac:dyDescent="0.2">
      <c r="A89" s="583" t="s">
        <v>1315</v>
      </c>
      <c r="B89" s="170"/>
      <c r="C89" s="758"/>
      <c r="D89" s="763">
        <v>6295500</v>
      </c>
      <c r="E89" s="743">
        <v>6295500</v>
      </c>
      <c r="F89" s="743">
        <v>0</v>
      </c>
      <c r="G89" s="743">
        <v>0</v>
      </c>
      <c r="H89" s="743">
        <f t="shared" si="29"/>
        <v>2623125</v>
      </c>
      <c r="I89" s="45">
        <f t="shared" si="30"/>
        <v>2623125</v>
      </c>
      <c r="J89" s="125">
        <f t="shared" si="31"/>
        <v>1</v>
      </c>
      <c r="K89" s="745">
        <v>6295500</v>
      </c>
    </row>
    <row r="90" spans="1:11" ht="12.75" customHeight="1" x14ac:dyDescent="0.2">
      <c r="A90" s="583" t="s">
        <v>1316</v>
      </c>
      <c r="B90" s="170"/>
      <c r="C90" s="758"/>
      <c r="D90" s="763">
        <v>0</v>
      </c>
      <c r="E90" s="743">
        <v>0</v>
      </c>
      <c r="F90" s="743">
        <v>0</v>
      </c>
      <c r="G90" s="743">
        <v>0</v>
      </c>
      <c r="H90" s="743">
        <f t="shared" si="29"/>
        <v>0</v>
      </c>
      <c r="I90" s="45">
        <f t="shared" si="30"/>
        <v>0</v>
      </c>
      <c r="J90" s="125" t="str">
        <f t="shared" si="31"/>
        <v/>
      </c>
      <c r="K90" s="745">
        <v>0</v>
      </c>
    </row>
    <row r="91" spans="1:11" ht="12.75" customHeight="1" x14ac:dyDescent="0.2">
      <c r="A91" s="583" t="s">
        <v>1317</v>
      </c>
      <c r="B91" s="170"/>
      <c r="C91" s="758"/>
      <c r="D91" s="763">
        <v>0</v>
      </c>
      <c r="E91" s="743">
        <v>0</v>
      </c>
      <c r="F91" s="743">
        <v>0</v>
      </c>
      <c r="G91" s="743">
        <v>0</v>
      </c>
      <c r="H91" s="743">
        <f t="shared" si="29"/>
        <v>0</v>
      </c>
      <c r="I91" s="45">
        <f t="shared" si="30"/>
        <v>0</v>
      </c>
      <c r="J91" s="125" t="str">
        <f t="shared" si="31"/>
        <v/>
      </c>
      <c r="K91" s="745">
        <v>0</v>
      </c>
    </row>
    <row r="92" spans="1:11" ht="12.75" customHeight="1" x14ac:dyDescent="0.2">
      <c r="A92" s="583" t="s">
        <v>1318</v>
      </c>
      <c r="B92" s="170"/>
      <c r="C92" s="758"/>
      <c r="D92" s="763">
        <v>1170000</v>
      </c>
      <c r="E92" s="743">
        <v>1170000</v>
      </c>
      <c r="F92" s="743">
        <v>0</v>
      </c>
      <c r="G92" s="743">
        <v>0</v>
      </c>
      <c r="H92" s="743">
        <f t="shared" si="29"/>
        <v>487500</v>
      </c>
      <c r="I92" s="45">
        <f t="shared" si="30"/>
        <v>487500</v>
      </c>
      <c r="J92" s="125">
        <f t="shared" si="31"/>
        <v>1</v>
      </c>
      <c r="K92" s="745">
        <v>1170000</v>
      </c>
    </row>
    <row r="93" spans="1:11" ht="12.75" customHeight="1" x14ac:dyDescent="0.2">
      <c r="A93" s="583" t="s">
        <v>451</v>
      </c>
      <c r="B93" s="170"/>
      <c r="C93" s="758"/>
      <c r="D93" s="763">
        <v>0</v>
      </c>
      <c r="E93" s="743">
        <v>0</v>
      </c>
      <c r="F93" s="743">
        <v>0</v>
      </c>
      <c r="G93" s="743">
        <v>0</v>
      </c>
      <c r="H93" s="743">
        <f t="shared" si="29"/>
        <v>0</v>
      </c>
      <c r="I93" s="45">
        <f t="shared" si="30"/>
        <v>0</v>
      </c>
      <c r="J93" s="125" t="str">
        <f t="shared" si="31"/>
        <v/>
      </c>
      <c r="K93" s="745">
        <v>0</v>
      </c>
    </row>
    <row r="94" spans="1:11" ht="12.75" customHeight="1" x14ac:dyDescent="0.2">
      <c r="A94" s="583" t="s">
        <v>1319</v>
      </c>
      <c r="B94" s="170"/>
      <c r="C94" s="758"/>
      <c r="D94" s="763">
        <v>0</v>
      </c>
      <c r="E94" s="743">
        <v>0</v>
      </c>
      <c r="F94" s="743">
        <v>0</v>
      </c>
      <c r="G94" s="743">
        <v>0</v>
      </c>
      <c r="H94" s="743">
        <f t="shared" si="29"/>
        <v>0</v>
      </c>
      <c r="I94" s="45">
        <f t="shared" si="30"/>
        <v>0</v>
      </c>
      <c r="J94" s="125" t="str">
        <f t="shared" si="31"/>
        <v/>
      </c>
      <c r="K94" s="745">
        <v>0</v>
      </c>
    </row>
    <row r="95" spans="1:11" ht="12.75" customHeight="1" x14ac:dyDescent="0.2">
      <c r="A95" s="583" t="s">
        <v>450</v>
      </c>
      <c r="B95" s="170"/>
      <c r="C95" s="758"/>
      <c r="D95" s="763">
        <v>0</v>
      </c>
      <c r="E95" s="743">
        <v>0</v>
      </c>
      <c r="F95" s="743">
        <v>0</v>
      </c>
      <c r="G95" s="743">
        <v>0</v>
      </c>
      <c r="H95" s="743">
        <f t="shared" si="29"/>
        <v>0</v>
      </c>
      <c r="I95" s="45">
        <f t="shared" si="30"/>
        <v>0</v>
      </c>
      <c r="J95" s="125" t="str">
        <f t="shared" si="31"/>
        <v/>
      </c>
      <c r="K95" s="745">
        <v>0</v>
      </c>
    </row>
    <row r="96" spans="1:11" ht="12.75" customHeight="1" x14ac:dyDescent="0.2">
      <c r="A96" s="583" t="s">
        <v>1320</v>
      </c>
      <c r="B96" s="170"/>
      <c r="C96" s="758"/>
      <c r="D96" s="763">
        <v>0</v>
      </c>
      <c r="E96" s="743">
        <v>0</v>
      </c>
      <c r="F96" s="743">
        <v>0</v>
      </c>
      <c r="G96" s="743">
        <v>0</v>
      </c>
      <c r="H96" s="743">
        <f t="shared" si="29"/>
        <v>0</v>
      </c>
      <c r="I96" s="45">
        <f t="shared" si="30"/>
        <v>0</v>
      </c>
      <c r="J96" s="125" t="str">
        <f t="shared" si="31"/>
        <v/>
      </c>
      <c r="K96" s="745">
        <v>0</v>
      </c>
    </row>
    <row r="97" spans="1:11" ht="12.75" customHeight="1" x14ac:dyDescent="0.2">
      <c r="A97" s="583" t="s">
        <v>1321</v>
      </c>
      <c r="B97" s="170"/>
      <c r="C97" s="758">
        <v>312832699.24086905</v>
      </c>
      <c r="D97" s="763">
        <v>203894300</v>
      </c>
      <c r="E97" s="743">
        <v>203894300</v>
      </c>
      <c r="F97" s="743">
        <v>2760400.7289999998</v>
      </c>
      <c r="G97" s="743">
        <v>2760400.7289999998</v>
      </c>
      <c r="H97" s="743">
        <f t="shared" si="29"/>
        <v>84955958.333333343</v>
      </c>
      <c r="I97" s="45">
        <f t="shared" si="30"/>
        <v>82195557.604333341</v>
      </c>
      <c r="J97" s="125">
        <f t="shared" si="31"/>
        <v>0.96750786191865101</v>
      </c>
      <c r="K97" s="745">
        <v>203894300</v>
      </c>
    </row>
    <row r="98" spans="1:11" ht="12.75" customHeight="1" x14ac:dyDescent="0.2">
      <c r="A98" s="583" t="s">
        <v>1256</v>
      </c>
      <c r="B98" s="170"/>
      <c r="C98" s="758"/>
      <c r="D98" s="763">
        <v>6170400</v>
      </c>
      <c r="E98" s="743">
        <v>929392</v>
      </c>
      <c r="F98" s="743">
        <v>1537649.659</v>
      </c>
      <c r="G98" s="743">
        <v>1537649.659</v>
      </c>
      <c r="H98" s="743">
        <f t="shared" si="29"/>
        <v>387246.66666666663</v>
      </c>
      <c r="I98" s="45">
        <f t="shared" si="30"/>
        <v>-1150402.9923333335</v>
      </c>
      <c r="J98" s="125">
        <f t="shared" si="31"/>
        <v>-2.9707240664864778</v>
      </c>
      <c r="K98" s="745">
        <v>929392</v>
      </c>
    </row>
    <row r="99" spans="1:11" ht="12.75" customHeight="1" x14ac:dyDescent="0.2">
      <c r="A99" s="521" t="s">
        <v>1322</v>
      </c>
      <c r="B99" s="170"/>
      <c r="C99" s="657">
        <f t="shared" ref="C99:H99" si="32">SUM(C100:C102)</f>
        <v>58235410.758584499</v>
      </c>
      <c r="D99" s="658">
        <f t="shared" si="32"/>
        <v>54539500</v>
      </c>
      <c r="E99" s="411">
        <f t="shared" si="32"/>
        <v>54539496</v>
      </c>
      <c r="F99" s="411">
        <f t="shared" si="32"/>
        <v>3718835.5</v>
      </c>
      <c r="G99" s="411">
        <f t="shared" si="32"/>
        <v>5579610.25</v>
      </c>
      <c r="H99" s="411">
        <f t="shared" si="32"/>
        <v>22724790</v>
      </c>
      <c r="I99" s="259">
        <f t="shared" si="30"/>
        <v>17145179.75</v>
      </c>
      <c r="J99" s="584">
        <f t="shared" si="31"/>
        <v>0.75447032733855846</v>
      </c>
      <c r="K99" s="651">
        <f>SUM(K100:K102)</f>
        <v>54539496</v>
      </c>
    </row>
    <row r="100" spans="1:11" ht="12.75" customHeight="1" x14ac:dyDescent="0.2">
      <c r="A100" s="583" t="s">
        <v>1323</v>
      </c>
      <c r="B100" s="170"/>
      <c r="C100" s="758"/>
      <c r="D100" s="763"/>
      <c r="E100" s="743">
        <v>0</v>
      </c>
      <c r="F100" s="743">
        <v>0</v>
      </c>
      <c r="G100" s="743">
        <v>0</v>
      </c>
      <c r="H100" s="743">
        <f>D100/12*3</f>
        <v>0</v>
      </c>
      <c r="I100" s="45">
        <f t="shared" si="30"/>
        <v>0</v>
      </c>
      <c r="J100" s="125" t="str">
        <f t="shared" si="31"/>
        <v/>
      </c>
      <c r="K100" s="745">
        <f>D100</f>
        <v>0</v>
      </c>
    </row>
    <row r="101" spans="1:11" ht="12.75" customHeight="1" x14ac:dyDescent="0.2">
      <c r="A101" s="583" t="s">
        <v>1324</v>
      </c>
      <c r="B101" s="170"/>
      <c r="C101" s="758">
        <v>4503522.0034999996</v>
      </c>
      <c r="D101" s="763">
        <v>54539500</v>
      </c>
      <c r="E101" s="743">
        <v>54539496</v>
      </c>
      <c r="F101" s="743">
        <v>3718835.5</v>
      </c>
      <c r="G101" s="743">
        <f>1860774.75+F101</f>
        <v>5579610.25</v>
      </c>
      <c r="H101" s="743">
        <f>E101/12*5</f>
        <v>22724790</v>
      </c>
      <c r="I101" s="45">
        <f t="shared" si="30"/>
        <v>17145179.75</v>
      </c>
      <c r="J101" s="125">
        <f t="shared" si="31"/>
        <v>0.75447032733855846</v>
      </c>
      <c r="K101" s="745">
        <v>54539496</v>
      </c>
    </row>
    <row r="102" spans="1:11" ht="12.75" customHeight="1" x14ac:dyDescent="0.2">
      <c r="A102" s="583" t="s">
        <v>1256</v>
      </c>
      <c r="B102" s="170"/>
      <c r="C102" s="758">
        <v>53731888.7550845</v>
      </c>
      <c r="D102" s="763">
        <v>0</v>
      </c>
      <c r="E102" s="743">
        <v>0</v>
      </c>
      <c r="F102" s="743">
        <v>0</v>
      </c>
      <c r="G102" s="743">
        <v>0</v>
      </c>
      <c r="H102" s="743">
        <f>D102/12*3</f>
        <v>0</v>
      </c>
      <c r="I102" s="45">
        <f t="shared" si="30"/>
        <v>0</v>
      </c>
      <c r="J102" s="125" t="str">
        <f t="shared" si="31"/>
        <v/>
      </c>
      <c r="K102" s="745">
        <f>D102</f>
        <v>0</v>
      </c>
    </row>
    <row r="103" spans="1:11" ht="12.75" customHeight="1" x14ac:dyDescent="0.2">
      <c r="A103" s="553" t="s">
        <v>690</v>
      </c>
      <c r="B103" s="170"/>
      <c r="C103" s="250">
        <f t="shared" ref="C103:H103" si="33">SUM(C104:C108)</f>
        <v>0</v>
      </c>
      <c r="D103" s="265">
        <f t="shared" si="33"/>
        <v>12168500</v>
      </c>
      <c r="E103" s="100">
        <f t="shared" si="33"/>
        <v>12168500</v>
      </c>
      <c r="F103" s="100">
        <f t="shared" si="33"/>
        <v>0</v>
      </c>
      <c r="G103" s="100">
        <f t="shared" si="33"/>
        <v>1550261.9735000895</v>
      </c>
      <c r="H103" s="100">
        <f t="shared" si="33"/>
        <v>5070208.333333333</v>
      </c>
      <c r="I103" s="100">
        <f t="shared" si="30"/>
        <v>3519946.3598332433</v>
      </c>
      <c r="J103" s="327">
        <f t="shared" si="31"/>
        <v>0.69424097165630805</v>
      </c>
      <c r="K103" s="196">
        <f>SUM(K104:K108)</f>
        <v>12168500</v>
      </c>
    </row>
    <row r="104" spans="1:11" ht="12.75" customHeight="1" x14ac:dyDescent="0.2">
      <c r="A104" s="521" t="s">
        <v>1326</v>
      </c>
      <c r="B104" s="170"/>
      <c r="C104" s="796">
        <v>0</v>
      </c>
      <c r="D104" s="763">
        <v>0</v>
      </c>
      <c r="E104" s="743">
        <v>0</v>
      </c>
      <c r="F104" s="743">
        <v>0</v>
      </c>
      <c r="G104" s="743">
        <v>0</v>
      </c>
      <c r="H104" s="743">
        <f t="shared" ref="H104:H107" si="34">E104/12*8</f>
        <v>0</v>
      </c>
      <c r="I104" s="45">
        <f t="shared" si="30"/>
        <v>0</v>
      </c>
      <c r="J104" s="125" t="str">
        <f t="shared" si="31"/>
        <v/>
      </c>
      <c r="K104" s="745">
        <v>0</v>
      </c>
    </row>
    <row r="105" spans="1:11" ht="12.75" customHeight="1" x14ac:dyDescent="0.2">
      <c r="A105" s="520" t="s">
        <v>1327</v>
      </c>
      <c r="B105" s="170"/>
      <c r="C105" s="796">
        <v>0</v>
      </c>
      <c r="D105" s="763">
        <v>0</v>
      </c>
      <c r="E105" s="743">
        <v>0</v>
      </c>
      <c r="F105" s="743">
        <v>0</v>
      </c>
      <c r="G105" s="743">
        <v>0</v>
      </c>
      <c r="H105" s="743">
        <f t="shared" si="34"/>
        <v>0</v>
      </c>
      <c r="I105" s="45">
        <f t="shared" si="30"/>
        <v>0</v>
      </c>
      <c r="J105" s="125" t="str">
        <f t="shared" si="31"/>
        <v/>
      </c>
      <c r="K105" s="745">
        <v>0</v>
      </c>
    </row>
    <row r="106" spans="1:11" ht="12.75" customHeight="1" x14ac:dyDescent="0.2">
      <c r="A106" s="521" t="s">
        <v>1328</v>
      </c>
      <c r="B106" s="170"/>
      <c r="C106" s="796">
        <v>0</v>
      </c>
      <c r="D106" s="763">
        <v>12168500</v>
      </c>
      <c r="E106" s="743">
        <v>12168500</v>
      </c>
      <c r="F106" s="743"/>
      <c r="G106" s="743">
        <v>1550261.9735000895</v>
      </c>
      <c r="H106" s="743">
        <f>E106/12*5</f>
        <v>5070208.333333333</v>
      </c>
      <c r="I106" s="45">
        <f t="shared" si="30"/>
        <v>3519946.3598332433</v>
      </c>
      <c r="J106" s="125">
        <f t="shared" si="31"/>
        <v>0.69424097165630805</v>
      </c>
      <c r="K106" s="745">
        <v>12168500</v>
      </c>
    </row>
    <row r="107" spans="1:11" ht="12.75" customHeight="1" x14ac:dyDescent="0.2">
      <c r="A107" s="521" t="s">
        <v>1329</v>
      </c>
      <c r="B107" s="170"/>
      <c r="C107" s="796">
        <v>0</v>
      </c>
      <c r="D107" s="763">
        <v>0</v>
      </c>
      <c r="E107" s="743">
        <v>0</v>
      </c>
      <c r="F107" s="743">
        <v>0</v>
      </c>
      <c r="G107" s="743">
        <v>0</v>
      </c>
      <c r="H107" s="743">
        <f t="shared" si="34"/>
        <v>0</v>
      </c>
      <c r="I107" s="45">
        <f t="shared" si="30"/>
        <v>0</v>
      </c>
      <c r="J107" s="125" t="str">
        <f t="shared" si="31"/>
        <v/>
      </c>
      <c r="K107" s="745">
        <v>0</v>
      </c>
    </row>
    <row r="108" spans="1:11" ht="12.75" customHeight="1" x14ac:dyDescent="0.2">
      <c r="A108" s="520" t="s">
        <v>1330</v>
      </c>
      <c r="B108" s="170"/>
      <c r="C108" s="796">
        <v>0</v>
      </c>
      <c r="D108" s="763">
        <v>0</v>
      </c>
      <c r="E108" s="743">
        <v>0</v>
      </c>
      <c r="F108" s="743">
        <v>0</v>
      </c>
      <c r="G108" s="743"/>
      <c r="H108" s="743">
        <f>E108</f>
        <v>0</v>
      </c>
      <c r="I108" s="45">
        <f t="shared" si="30"/>
        <v>0</v>
      </c>
      <c r="J108" s="125" t="str">
        <f t="shared" si="31"/>
        <v/>
      </c>
      <c r="K108" s="745">
        <f>E108</f>
        <v>0</v>
      </c>
    </row>
    <row r="109" spans="1:11" ht="5.0999999999999996" customHeight="1" x14ac:dyDescent="0.2">
      <c r="A109" s="950"/>
      <c r="B109" s="170"/>
      <c r="C109" s="135"/>
      <c r="D109" s="259"/>
      <c r="E109" s="45"/>
      <c r="F109" s="45"/>
      <c r="G109" s="45"/>
      <c r="H109" s="45"/>
      <c r="I109" s="45">
        <f t="shared" si="30"/>
        <v>0</v>
      </c>
      <c r="J109" s="125" t="str">
        <f t="shared" si="31"/>
        <v/>
      </c>
      <c r="K109" s="145"/>
    </row>
    <row r="110" spans="1:11" ht="12.75" customHeight="1" x14ac:dyDescent="0.2">
      <c r="A110" s="951" t="s">
        <v>691</v>
      </c>
      <c r="B110" s="39"/>
      <c r="C110" s="585">
        <f t="shared" ref="C110:H110" si="35">+C111+C114</f>
        <v>0</v>
      </c>
      <c r="D110" s="586">
        <f t="shared" si="35"/>
        <v>0</v>
      </c>
      <c r="E110" s="587">
        <f t="shared" si="35"/>
        <v>0</v>
      </c>
      <c r="F110" s="587">
        <f t="shared" si="35"/>
        <v>0</v>
      </c>
      <c r="G110" s="587">
        <f t="shared" si="35"/>
        <v>0</v>
      </c>
      <c r="H110" s="587">
        <f t="shared" si="35"/>
        <v>0</v>
      </c>
      <c r="I110" s="100">
        <f t="shared" si="30"/>
        <v>0</v>
      </c>
      <c r="J110" s="327" t="str">
        <f t="shared" si="31"/>
        <v/>
      </c>
      <c r="K110" s="589">
        <f>+K111+K114</f>
        <v>0</v>
      </c>
    </row>
    <row r="111" spans="1:11" ht="12.75" customHeight="1" x14ac:dyDescent="0.2">
      <c r="A111" s="521" t="s">
        <v>1331</v>
      </c>
      <c r="B111" s="170"/>
      <c r="C111" s="657">
        <f t="shared" ref="C111:H111" si="36">SUM(C112:C113)</f>
        <v>0</v>
      </c>
      <c r="D111" s="658">
        <f t="shared" si="36"/>
        <v>0</v>
      </c>
      <c r="E111" s="411">
        <f t="shared" si="36"/>
        <v>0</v>
      </c>
      <c r="F111" s="411">
        <f t="shared" si="36"/>
        <v>0</v>
      </c>
      <c r="G111" s="411">
        <f t="shared" si="36"/>
        <v>0</v>
      </c>
      <c r="H111" s="411">
        <f t="shared" si="36"/>
        <v>0</v>
      </c>
      <c r="I111" s="259">
        <f t="shared" si="30"/>
        <v>0</v>
      </c>
      <c r="J111" s="584" t="str">
        <f t="shared" si="31"/>
        <v/>
      </c>
      <c r="K111" s="651">
        <f>SUM(K112:K113)</f>
        <v>0</v>
      </c>
    </row>
    <row r="112" spans="1:11" ht="12.75" customHeight="1" x14ac:dyDescent="0.2">
      <c r="A112" s="583" t="s">
        <v>1332</v>
      </c>
      <c r="B112" s="170"/>
      <c r="C112" s="758">
        <v>0</v>
      </c>
      <c r="D112" s="763">
        <v>0</v>
      </c>
      <c r="E112" s="743">
        <v>0</v>
      </c>
      <c r="F112" s="743">
        <v>0</v>
      </c>
      <c r="G112" s="743">
        <v>0</v>
      </c>
      <c r="H112" s="743">
        <v>0</v>
      </c>
      <c r="I112" s="45">
        <f t="shared" si="30"/>
        <v>0</v>
      </c>
      <c r="J112" s="125" t="str">
        <f t="shared" si="31"/>
        <v/>
      </c>
      <c r="K112" s="745"/>
    </row>
    <row r="113" spans="1:11" ht="12.75" customHeight="1" x14ac:dyDescent="0.2">
      <c r="A113" s="583" t="s">
        <v>1333</v>
      </c>
      <c r="B113" s="170"/>
      <c r="C113" s="758">
        <v>0</v>
      </c>
      <c r="D113" s="763">
        <v>0</v>
      </c>
      <c r="E113" s="743">
        <v>0</v>
      </c>
      <c r="F113" s="743">
        <v>0</v>
      </c>
      <c r="G113" s="743">
        <v>0</v>
      </c>
      <c r="H113" s="743">
        <v>0</v>
      </c>
      <c r="I113" s="45">
        <f t="shared" si="30"/>
        <v>0</v>
      </c>
      <c r="J113" s="125" t="str">
        <f t="shared" si="31"/>
        <v/>
      </c>
      <c r="K113" s="745">
        <f>D113</f>
        <v>0</v>
      </c>
    </row>
    <row r="114" spans="1:11" ht="12.75" customHeight="1" x14ac:dyDescent="0.2">
      <c r="A114" s="521" t="s">
        <v>1334</v>
      </c>
      <c r="B114" s="170"/>
      <c r="C114" s="657">
        <f t="shared" ref="C114:H114" si="37">SUM(C115:C116)</f>
        <v>0</v>
      </c>
      <c r="D114" s="658">
        <f t="shared" si="37"/>
        <v>0</v>
      </c>
      <c r="E114" s="411">
        <f t="shared" si="37"/>
        <v>0</v>
      </c>
      <c r="F114" s="411">
        <f t="shared" si="37"/>
        <v>0</v>
      </c>
      <c r="G114" s="411">
        <f t="shared" si="37"/>
        <v>0</v>
      </c>
      <c r="H114" s="411">
        <f t="shared" si="37"/>
        <v>0</v>
      </c>
      <c r="I114" s="259">
        <f t="shared" si="30"/>
        <v>0</v>
      </c>
      <c r="J114" s="584" t="str">
        <f t="shared" si="31"/>
        <v/>
      </c>
      <c r="K114" s="651">
        <f>SUM(K115:K116)</f>
        <v>0</v>
      </c>
    </row>
    <row r="115" spans="1:11" ht="12.75" customHeight="1" x14ac:dyDescent="0.2">
      <c r="A115" s="583" t="s">
        <v>1332</v>
      </c>
      <c r="B115" s="170"/>
      <c r="C115" s="758">
        <v>0</v>
      </c>
      <c r="D115" s="763">
        <v>0</v>
      </c>
      <c r="E115" s="743">
        <v>0</v>
      </c>
      <c r="F115" s="743">
        <v>0</v>
      </c>
      <c r="G115" s="743">
        <v>0</v>
      </c>
      <c r="H115" s="743">
        <f>D115/12*7</f>
        <v>0</v>
      </c>
      <c r="I115" s="45">
        <f t="shared" si="30"/>
        <v>0</v>
      </c>
      <c r="J115" s="125" t="str">
        <f t="shared" si="31"/>
        <v/>
      </c>
      <c r="K115" s="745"/>
    </row>
    <row r="116" spans="1:11" ht="12.75" customHeight="1" x14ac:dyDescent="0.2">
      <c r="A116" s="583" t="s">
        <v>1333</v>
      </c>
      <c r="B116" s="170"/>
      <c r="C116" s="758">
        <v>0</v>
      </c>
      <c r="D116" s="763"/>
      <c r="E116" s="743"/>
      <c r="F116" s="743"/>
      <c r="G116" s="743"/>
      <c r="H116" s="743">
        <f>D116/12*7</f>
        <v>0</v>
      </c>
      <c r="I116" s="45">
        <f t="shared" si="30"/>
        <v>0</v>
      </c>
      <c r="J116" s="125" t="str">
        <f t="shared" si="31"/>
        <v/>
      </c>
      <c r="K116" s="745"/>
    </row>
    <row r="117" spans="1:11" ht="12.75" customHeight="1" x14ac:dyDescent="0.2">
      <c r="A117" s="951" t="s">
        <v>692</v>
      </c>
      <c r="B117" s="170"/>
      <c r="C117" s="585">
        <f t="shared" ref="C117:H117" si="38">+C118+C130</f>
        <v>0</v>
      </c>
      <c r="D117" s="586">
        <f t="shared" si="38"/>
        <v>10501600</v>
      </c>
      <c r="E117" s="587">
        <f t="shared" si="38"/>
        <v>8501608</v>
      </c>
      <c r="F117" s="587">
        <f t="shared" si="38"/>
        <v>377670.99400000001</v>
      </c>
      <c r="G117" s="587">
        <f t="shared" si="38"/>
        <v>377670.99400000001</v>
      </c>
      <c r="H117" s="587">
        <f t="shared" si="38"/>
        <v>3542336.666666667</v>
      </c>
      <c r="I117" s="587">
        <f t="shared" si="30"/>
        <v>3164665.672666667</v>
      </c>
      <c r="J117" s="588">
        <f t="shared" si="31"/>
        <v>0.89338365335122483</v>
      </c>
      <c r="K117" s="589">
        <f>+K118+K130</f>
        <v>8501608</v>
      </c>
    </row>
    <row r="118" spans="1:11" ht="12.75" customHeight="1" x14ac:dyDescent="0.2">
      <c r="A118" s="521" t="s">
        <v>1335</v>
      </c>
      <c r="B118" s="170"/>
      <c r="C118" s="657">
        <f t="shared" ref="C118:H118" si="39">SUM(C119:C129)</f>
        <v>0</v>
      </c>
      <c r="D118" s="658">
        <f t="shared" si="39"/>
        <v>10501600</v>
      </c>
      <c r="E118" s="411">
        <f t="shared" si="39"/>
        <v>8501608</v>
      </c>
      <c r="F118" s="411">
        <f t="shared" si="39"/>
        <v>377670.99400000001</v>
      </c>
      <c r="G118" s="411">
        <f t="shared" si="39"/>
        <v>377670.99400000001</v>
      </c>
      <c r="H118" s="411">
        <f t="shared" si="39"/>
        <v>3542336.666666667</v>
      </c>
      <c r="I118" s="259">
        <f t="shared" si="30"/>
        <v>3164665.672666667</v>
      </c>
      <c r="J118" s="584">
        <f t="shared" si="31"/>
        <v>0.89338365335122483</v>
      </c>
      <c r="K118" s="651">
        <f>SUM(K119:K129)</f>
        <v>8501608</v>
      </c>
    </row>
    <row r="119" spans="1:11" ht="12.75" customHeight="1" x14ac:dyDescent="0.2">
      <c r="A119" s="583" t="s">
        <v>1336</v>
      </c>
      <c r="B119" s="170"/>
      <c r="C119" s="758">
        <v>0</v>
      </c>
      <c r="D119" s="763">
        <v>10501600</v>
      </c>
      <c r="E119" s="743">
        <v>8501608</v>
      </c>
      <c r="F119" s="743">
        <v>377670.99400000001</v>
      </c>
      <c r="G119" s="743">
        <f t="shared" ref="G119:G124" si="40">+F119</f>
        <v>377670.99400000001</v>
      </c>
      <c r="H119" s="743">
        <f>E119/12*5</f>
        <v>3542336.666666667</v>
      </c>
      <c r="I119" s="45">
        <f t="shared" si="30"/>
        <v>3164665.672666667</v>
      </c>
      <c r="J119" s="125">
        <f t="shared" si="31"/>
        <v>0.89338365335122483</v>
      </c>
      <c r="K119" s="745">
        <v>8501608</v>
      </c>
    </row>
    <row r="120" spans="1:11" ht="12.75" customHeight="1" x14ac:dyDescent="0.2">
      <c r="A120" s="583" t="s">
        <v>1337</v>
      </c>
      <c r="B120" s="170"/>
      <c r="C120" s="758">
        <v>0</v>
      </c>
      <c r="D120" s="763">
        <v>0</v>
      </c>
      <c r="E120" s="743">
        <v>0</v>
      </c>
      <c r="F120" s="743">
        <v>0</v>
      </c>
      <c r="G120" s="743">
        <f t="shared" si="40"/>
        <v>0</v>
      </c>
      <c r="H120" s="743">
        <f t="shared" ref="H120:H129" si="41">E120/12*8</f>
        <v>0</v>
      </c>
      <c r="I120" s="45">
        <f t="shared" si="30"/>
        <v>0</v>
      </c>
      <c r="J120" s="125" t="str">
        <f t="shared" ref="J120:J146" si="42">IF(I120=0,"",I120/H120)</f>
        <v/>
      </c>
      <c r="K120" s="745">
        <v>0</v>
      </c>
    </row>
    <row r="121" spans="1:11" ht="12.75" customHeight="1" x14ac:dyDescent="0.2">
      <c r="A121" s="583" t="s">
        <v>1338</v>
      </c>
      <c r="B121" s="170"/>
      <c r="C121" s="758">
        <v>0</v>
      </c>
      <c r="D121" s="763">
        <v>0</v>
      </c>
      <c r="E121" s="743">
        <v>0</v>
      </c>
      <c r="F121" s="743">
        <v>0</v>
      </c>
      <c r="G121" s="743">
        <f t="shared" si="40"/>
        <v>0</v>
      </c>
      <c r="H121" s="743">
        <f t="shared" si="41"/>
        <v>0</v>
      </c>
      <c r="I121" s="45">
        <f t="shared" si="30"/>
        <v>0</v>
      </c>
      <c r="J121" s="125" t="str">
        <f t="shared" si="42"/>
        <v/>
      </c>
      <c r="K121" s="745">
        <v>0</v>
      </c>
    </row>
    <row r="122" spans="1:11" ht="12.75" customHeight="1" x14ac:dyDescent="0.2">
      <c r="A122" s="583" t="s">
        <v>1339</v>
      </c>
      <c r="B122" s="170"/>
      <c r="C122" s="758">
        <v>0</v>
      </c>
      <c r="D122" s="763">
        <v>0</v>
      </c>
      <c r="E122" s="743">
        <v>0</v>
      </c>
      <c r="F122" s="743">
        <v>0</v>
      </c>
      <c r="G122" s="743">
        <f t="shared" si="40"/>
        <v>0</v>
      </c>
      <c r="H122" s="743">
        <f t="shared" si="41"/>
        <v>0</v>
      </c>
      <c r="I122" s="45">
        <f t="shared" si="30"/>
        <v>0</v>
      </c>
      <c r="J122" s="125" t="str">
        <f t="shared" si="42"/>
        <v/>
      </c>
      <c r="K122" s="745">
        <v>0</v>
      </c>
    </row>
    <row r="123" spans="1:11" ht="12.75" customHeight="1" x14ac:dyDescent="0.2">
      <c r="A123" s="583" t="s">
        <v>1340</v>
      </c>
      <c r="B123" s="170"/>
      <c r="C123" s="758">
        <v>0</v>
      </c>
      <c r="D123" s="763">
        <v>0</v>
      </c>
      <c r="E123" s="743">
        <v>0</v>
      </c>
      <c r="F123" s="743">
        <v>0</v>
      </c>
      <c r="G123" s="743">
        <f t="shared" si="40"/>
        <v>0</v>
      </c>
      <c r="H123" s="743">
        <f t="shared" si="41"/>
        <v>0</v>
      </c>
      <c r="I123" s="45">
        <f t="shared" si="30"/>
        <v>0</v>
      </c>
      <c r="J123" s="125" t="str">
        <f t="shared" si="42"/>
        <v/>
      </c>
      <c r="K123" s="745">
        <v>0</v>
      </c>
    </row>
    <row r="124" spans="1:11" ht="12.75" customHeight="1" x14ac:dyDescent="0.2">
      <c r="A124" s="583" t="s">
        <v>1341</v>
      </c>
      <c r="B124" s="170"/>
      <c r="C124" s="758">
        <v>0</v>
      </c>
      <c r="D124" s="763"/>
      <c r="E124" s="743">
        <v>0</v>
      </c>
      <c r="F124" s="743">
        <v>0</v>
      </c>
      <c r="G124" s="743">
        <f t="shared" si="40"/>
        <v>0</v>
      </c>
      <c r="H124" s="743">
        <f t="shared" si="41"/>
        <v>0</v>
      </c>
      <c r="I124" s="45">
        <f t="shared" si="30"/>
        <v>0</v>
      </c>
      <c r="J124" s="125" t="str">
        <f t="shared" si="42"/>
        <v/>
      </c>
      <c r="K124" s="745">
        <v>0</v>
      </c>
    </row>
    <row r="125" spans="1:11" ht="12.75" customHeight="1" x14ac:dyDescent="0.2">
      <c r="A125" s="583" t="s">
        <v>1342</v>
      </c>
      <c r="B125" s="170"/>
      <c r="C125" s="758">
        <v>0</v>
      </c>
      <c r="D125" s="763">
        <v>0</v>
      </c>
      <c r="E125" s="743">
        <v>0</v>
      </c>
      <c r="F125" s="743"/>
      <c r="G125" s="743"/>
      <c r="H125" s="743">
        <f t="shared" si="41"/>
        <v>0</v>
      </c>
      <c r="I125" s="45">
        <f t="shared" si="30"/>
        <v>0</v>
      </c>
      <c r="J125" s="125" t="str">
        <f t="shared" si="42"/>
        <v/>
      </c>
      <c r="K125" s="745">
        <v>0</v>
      </c>
    </row>
    <row r="126" spans="1:11" ht="12.75" customHeight="1" x14ac:dyDescent="0.2">
      <c r="A126" s="583" t="s">
        <v>1343</v>
      </c>
      <c r="B126" s="170"/>
      <c r="C126" s="758">
        <v>0</v>
      </c>
      <c r="D126" s="763">
        <v>0</v>
      </c>
      <c r="E126" s="743">
        <v>0</v>
      </c>
      <c r="F126" s="743">
        <v>0</v>
      </c>
      <c r="G126" s="743">
        <v>0</v>
      </c>
      <c r="H126" s="743">
        <f t="shared" si="41"/>
        <v>0</v>
      </c>
      <c r="I126" s="45">
        <f t="shared" si="30"/>
        <v>0</v>
      </c>
      <c r="J126" s="125" t="str">
        <f t="shared" si="42"/>
        <v/>
      </c>
      <c r="K126" s="745">
        <v>0</v>
      </c>
    </row>
    <row r="127" spans="1:11" ht="12.75" customHeight="1" x14ac:dyDescent="0.2">
      <c r="A127" s="583" t="s">
        <v>1344</v>
      </c>
      <c r="B127" s="170"/>
      <c r="C127" s="758">
        <v>0</v>
      </c>
      <c r="D127" s="763">
        <v>0</v>
      </c>
      <c r="E127" s="743">
        <v>0</v>
      </c>
      <c r="F127" s="743">
        <v>0</v>
      </c>
      <c r="G127" s="743">
        <v>0</v>
      </c>
      <c r="H127" s="743">
        <f t="shared" si="41"/>
        <v>0</v>
      </c>
      <c r="I127" s="45">
        <f t="shared" si="30"/>
        <v>0</v>
      </c>
      <c r="J127" s="125" t="str">
        <f t="shared" si="42"/>
        <v/>
      </c>
      <c r="K127" s="745">
        <v>0</v>
      </c>
    </row>
    <row r="128" spans="1:11" ht="12.75" customHeight="1" x14ac:dyDescent="0.2">
      <c r="A128" s="583" t="s">
        <v>1345</v>
      </c>
      <c r="B128" s="170"/>
      <c r="C128" s="758">
        <v>0</v>
      </c>
      <c r="D128" s="763">
        <v>0</v>
      </c>
      <c r="E128" s="743">
        <v>0</v>
      </c>
      <c r="F128" s="743">
        <v>0</v>
      </c>
      <c r="G128" s="743">
        <v>0</v>
      </c>
      <c r="H128" s="743">
        <f t="shared" si="41"/>
        <v>0</v>
      </c>
      <c r="I128" s="45">
        <f t="shared" si="30"/>
        <v>0</v>
      </c>
      <c r="J128" s="125" t="str">
        <f t="shared" si="42"/>
        <v/>
      </c>
      <c r="K128" s="745">
        <v>0</v>
      </c>
    </row>
    <row r="129" spans="1:11" ht="12.75" customHeight="1" x14ac:dyDescent="0.2">
      <c r="A129" s="583" t="s">
        <v>1256</v>
      </c>
      <c r="B129" s="170"/>
      <c r="C129" s="758">
        <v>0</v>
      </c>
      <c r="D129" s="763">
        <v>0</v>
      </c>
      <c r="E129" s="743">
        <v>0</v>
      </c>
      <c r="F129" s="743">
        <v>0</v>
      </c>
      <c r="G129" s="743">
        <v>0</v>
      </c>
      <c r="H129" s="743">
        <f t="shared" si="41"/>
        <v>0</v>
      </c>
      <c r="I129" s="45">
        <f t="shared" si="30"/>
        <v>0</v>
      </c>
      <c r="J129" s="125" t="str">
        <f t="shared" si="42"/>
        <v/>
      </c>
      <c r="K129" s="745">
        <f>D129</f>
        <v>0</v>
      </c>
    </row>
    <row r="130" spans="1:11" ht="12.75" customHeight="1" x14ac:dyDescent="0.2">
      <c r="A130" s="521" t="s">
        <v>733</v>
      </c>
      <c r="B130" s="170"/>
      <c r="C130" s="657">
        <f t="shared" ref="C130:H130" si="43">SUM(C131:C133)</f>
        <v>0</v>
      </c>
      <c r="D130" s="658">
        <f t="shared" si="43"/>
        <v>0</v>
      </c>
      <c r="E130" s="411">
        <f t="shared" si="43"/>
        <v>0</v>
      </c>
      <c r="F130" s="411">
        <f t="shared" si="43"/>
        <v>0</v>
      </c>
      <c r="G130" s="411">
        <f t="shared" si="43"/>
        <v>0</v>
      </c>
      <c r="H130" s="411">
        <f t="shared" si="43"/>
        <v>0</v>
      </c>
      <c r="I130" s="259">
        <f t="shared" si="30"/>
        <v>0</v>
      </c>
      <c r="J130" s="584" t="str">
        <f t="shared" si="42"/>
        <v/>
      </c>
      <c r="K130" s="651">
        <f>SUM(K131:K133)</f>
        <v>0</v>
      </c>
    </row>
    <row r="131" spans="1:11" ht="12.75" customHeight="1" x14ac:dyDescent="0.2">
      <c r="A131" s="583" t="s">
        <v>1346</v>
      </c>
      <c r="B131" s="170"/>
      <c r="C131" s="758">
        <v>0</v>
      </c>
      <c r="D131" s="763">
        <v>0</v>
      </c>
      <c r="E131" s="743">
        <v>0</v>
      </c>
      <c r="F131" s="743">
        <v>0</v>
      </c>
      <c r="G131" s="743">
        <v>0</v>
      </c>
      <c r="H131" s="743">
        <v>0</v>
      </c>
      <c r="I131" s="45">
        <f t="shared" si="30"/>
        <v>0</v>
      </c>
      <c r="J131" s="125" t="str">
        <f t="shared" si="42"/>
        <v/>
      </c>
      <c r="K131" s="745">
        <v>0</v>
      </c>
    </row>
    <row r="132" spans="1:11" ht="12.75" customHeight="1" x14ac:dyDescent="0.2">
      <c r="A132" s="583" t="s">
        <v>1347</v>
      </c>
      <c r="B132" s="170"/>
      <c r="C132" s="758">
        <v>0</v>
      </c>
      <c r="D132" s="763">
        <v>0</v>
      </c>
      <c r="E132" s="743">
        <v>0</v>
      </c>
      <c r="F132" s="743">
        <v>0</v>
      </c>
      <c r="G132" s="743">
        <v>0</v>
      </c>
      <c r="H132" s="743">
        <v>0</v>
      </c>
      <c r="I132" s="45">
        <f t="shared" si="30"/>
        <v>0</v>
      </c>
      <c r="J132" s="125" t="str">
        <f t="shared" si="42"/>
        <v/>
      </c>
      <c r="K132" s="745">
        <v>0</v>
      </c>
    </row>
    <row r="133" spans="1:11" ht="12.75" customHeight="1" x14ac:dyDescent="0.2">
      <c r="A133" s="583" t="s">
        <v>1256</v>
      </c>
      <c r="B133" s="170"/>
      <c r="C133" s="758">
        <v>0</v>
      </c>
      <c r="D133" s="763">
        <v>0</v>
      </c>
      <c r="E133" s="743">
        <v>0</v>
      </c>
      <c r="F133" s="743">
        <v>0</v>
      </c>
      <c r="G133" s="743">
        <v>0</v>
      </c>
      <c r="H133" s="743">
        <v>0</v>
      </c>
      <c r="I133" s="45">
        <f t="shared" si="30"/>
        <v>0</v>
      </c>
      <c r="J133" s="125" t="str">
        <f t="shared" si="42"/>
        <v/>
      </c>
      <c r="K133" s="745">
        <v>0</v>
      </c>
    </row>
    <row r="134" spans="1:11" ht="5.0999999999999996" customHeight="1" x14ac:dyDescent="0.2">
      <c r="A134" s="40"/>
      <c r="B134" s="170"/>
      <c r="C134" s="135"/>
      <c r="D134" s="259"/>
      <c r="E134" s="45"/>
      <c r="F134" s="45"/>
      <c r="G134" s="45"/>
      <c r="H134" s="45"/>
      <c r="I134" s="45"/>
      <c r="J134" s="125" t="str">
        <f t="shared" si="42"/>
        <v/>
      </c>
      <c r="K134" s="145"/>
    </row>
    <row r="135" spans="1:11" ht="12.75" customHeight="1" x14ac:dyDescent="0.2">
      <c r="A135" s="553" t="s">
        <v>1348</v>
      </c>
      <c r="B135" s="170"/>
      <c r="C135" s="585">
        <f t="shared" ref="C135:H135" si="44">SUM(C136:C136)</f>
        <v>0</v>
      </c>
      <c r="D135" s="586">
        <f t="shared" si="44"/>
        <v>0</v>
      </c>
      <c r="E135" s="587">
        <f t="shared" si="44"/>
        <v>0</v>
      </c>
      <c r="F135" s="587">
        <f t="shared" si="44"/>
        <v>0</v>
      </c>
      <c r="G135" s="587">
        <f t="shared" si="44"/>
        <v>0</v>
      </c>
      <c r="H135" s="587">
        <f t="shared" si="44"/>
        <v>0</v>
      </c>
      <c r="I135" s="587">
        <f>H135-G135</f>
        <v>0</v>
      </c>
      <c r="J135" s="327" t="str">
        <f t="shared" si="4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42"/>
        <v/>
      </c>
      <c r="K136" s="745">
        <v>0</v>
      </c>
    </row>
    <row r="137" spans="1:11" ht="5.0999999999999996" customHeight="1" x14ac:dyDescent="0.2">
      <c r="A137" s="552"/>
      <c r="B137" s="170"/>
      <c r="C137" s="135"/>
      <c r="D137" s="259"/>
      <c r="E137" s="45"/>
      <c r="F137" s="45"/>
      <c r="G137" s="45"/>
      <c r="H137" s="45"/>
      <c r="I137" s="45"/>
      <c r="J137" s="125" t="str">
        <f t="shared" si="42"/>
        <v/>
      </c>
      <c r="K137" s="145"/>
    </row>
    <row r="138" spans="1:11" s="101" customFormat="1" ht="12.75" customHeight="1" x14ac:dyDescent="0.2">
      <c r="A138" s="553" t="s">
        <v>1349</v>
      </c>
      <c r="B138" s="172"/>
      <c r="C138" s="952">
        <f t="shared" ref="C138:H138" si="45">SUM(C139:C140)</f>
        <v>0</v>
      </c>
      <c r="D138" s="953">
        <f t="shared" si="45"/>
        <v>700000</v>
      </c>
      <c r="E138" s="954">
        <f t="shared" si="45"/>
        <v>700000</v>
      </c>
      <c r="F138" s="954">
        <f t="shared" si="45"/>
        <v>0</v>
      </c>
      <c r="G138" s="954">
        <f t="shared" si="45"/>
        <v>0</v>
      </c>
      <c r="H138" s="954">
        <f t="shared" si="45"/>
        <v>291666.66666666669</v>
      </c>
      <c r="I138" s="954">
        <f t="shared" ref="I138:I146" si="46">H138-G138</f>
        <v>291666.66666666669</v>
      </c>
      <c r="J138" s="327">
        <f t="shared" si="42"/>
        <v>1</v>
      </c>
      <c r="K138" s="955">
        <f>SUM(K139:K140)</f>
        <v>700000</v>
      </c>
    </row>
    <row r="139" spans="1:11" ht="12.75" customHeight="1" x14ac:dyDescent="0.2">
      <c r="A139" s="520" t="s">
        <v>1350</v>
      </c>
      <c r="B139" s="170"/>
      <c r="C139" s="758"/>
      <c r="D139" s="763"/>
      <c r="E139" s="743"/>
      <c r="F139" s="743"/>
      <c r="G139" s="743"/>
      <c r="H139" s="743"/>
      <c r="I139" s="45">
        <f t="shared" si="46"/>
        <v>0</v>
      </c>
      <c r="J139" s="125" t="str">
        <f t="shared" si="42"/>
        <v/>
      </c>
      <c r="K139" s="745"/>
    </row>
    <row r="140" spans="1:11" ht="12.75" customHeight="1" x14ac:dyDescent="0.2">
      <c r="A140" s="520" t="s">
        <v>1351</v>
      </c>
      <c r="B140" s="170"/>
      <c r="C140" s="657">
        <f t="shared" ref="C140:H140" si="47">SUM(C141:C146)</f>
        <v>0</v>
      </c>
      <c r="D140" s="658">
        <f t="shared" si="47"/>
        <v>700000</v>
      </c>
      <c r="E140" s="411">
        <f t="shared" si="47"/>
        <v>700000</v>
      </c>
      <c r="F140" s="411">
        <f t="shared" si="47"/>
        <v>0</v>
      </c>
      <c r="G140" s="411">
        <f t="shared" si="47"/>
        <v>0</v>
      </c>
      <c r="H140" s="411">
        <f t="shared" si="47"/>
        <v>291666.66666666669</v>
      </c>
      <c r="I140" s="259">
        <f t="shared" si="46"/>
        <v>291666.66666666669</v>
      </c>
      <c r="J140" s="584">
        <f t="shared" si="42"/>
        <v>1</v>
      </c>
      <c r="K140" s="651">
        <f>SUM(K141:K146)</f>
        <v>700000</v>
      </c>
    </row>
    <row r="141" spans="1:11" ht="12.75" customHeight="1" x14ac:dyDescent="0.2">
      <c r="A141" s="583" t="s">
        <v>1352</v>
      </c>
      <c r="B141" s="170"/>
      <c r="C141" s="758">
        <v>0</v>
      </c>
      <c r="D141" s="763">
        <v>0</v>
      </c>
      <c r="E141" s="743">
        <v>0</v>
      </c>
      <c r="F141" s="743">
        <v>0</v>
      </c>
      <c r="G141" s="743">
        <v>0</v>
      </c>
      <c r="H141" s="743">
        <f t="shared" ref="H141:H146" si="48">D141/12*3</f>
        <v>0</v>
      </c>
      <c r="I141" s="45">
        <f t="shared" si="46"/>
        <v>0</v>
      </c>
      <c r="J141" s="125" t="str">
        <f t="shared" si="42"/>
        <v/>
      </c>
      <c r="K141" s="745">
        <v>0</v>
      </c>
    </row>
    <row r="142" spans="1:11" ht="12.75" customHeight="1" x14ac:dyDescent="0.2">
      <c r="A142" s="583" t="s">
        <v>1353</v>
      </c>
      <c r="B142" s="170"/>
      <c r="C142" s="758">
        <v>0</v>
      </c>
      <c r="D142" s="763">
        <v>0</v>
      </c>
      <c r="E142" s="743">
        <v>0</v>
      </c>
      <c r="F142" s="743">
        <v>0</v>
      </c>
      <c r="G142" s="743">
        <v>0</v>
      </c>
      <c r="H142" s="743">
        <f t="shared" si="48"/>
        <v>0</v>
      </c>
      <c r="I142" s="45">
        <f t="shared" si="46"/>
        <v>0</v>
      </c>
      <c r="J142" s="125" t="str">
        <f t="shared" si="42"/>
        <v/>
      </c>
      <c r="K142" s="745">
        <v>0</v>
      </c>
    </row>
    <row r="143" spans="1:11" ht="12.75" customHeight="1" x14ac:dyDescent="0.2">
      <c r="A143" s="583" t="s">
        <v>1354</v>
      </c>
      <c r="B143" s="170"/>
      <c r="C143" s="758">
        <v>0</v>
      </c>
      <c r="D143" s="763">
        <v>0</v>
      </c>
      <c r="E143" s="743">
        <v>0</v>
      </c>
      <c r="F143" s="743">
        <v>0</v>
      </c>
      <c r="G143" s="743">
        <v>0</v>
      </c>
      <c r="H143" s="743">
        <f t="shared" si="48"/>
        <v>0</v>
      </c>
      <c r="I143" s="45">
        <f t="shared" si="46"/>
        <v>0</v>
      </c>
      <c r="J143" s="125" t="str">
        <f t="shared" si="42"/>
        <v/>
      </c>
      <c r="K143" s="745">
        <v>0</v>
      </c>
    </row>
    <row r="144" spans="1:11" ht="12.75" customHeight="1" x14ac:dyDescent="0.2">
      <c r="A144" s="583" t="s">
        <v>1355</v>
      </c>
      <c r="B144" s="170"/>
      <c r="C144" s="758">
        <v>0</v>
      </c>
      <c r="D144" s="763">
        <v>700000</v>
      </c>
      <c r="E144" s="743">
        <v>700000</v>
      </c>
      <c r="F144" s="743"/>
      <c r="G144" s="743">
        <v>0</v>
      </c>
      <c r="H144" s="743">
        <f>E144/12*5</f>
        <v>291666.66666666669</v>
      </c>
      <c r="I144" s="45">
        <f t="shared" si="46"/>
        <v>291666.66666666669</v>
      </c>
      <c r="J144" s="125">
        <f t="shared" si="42"/>
        <v>1</v>
      </c>
      <c r="K144" s="745">
        <v>700000</v>
      </c>
    </row>
    <row r="145" spans="1:12" ht="12.75" customHeight="1" x14ac:dyDescent="0.2">
      <c r="A145" s="583" t="s">
        <v>1356</v>
      </c>
      <c r="B145" s="170"/>
      <c r="C145" s="758">
        <v>0</v>
      </c>
      <c r="D145" s="763">
        <v>0</v>
      </c>
      <c r="E145" s="743">
        <v>0</v>
      </c>
      <c r="F145" s="743">
        <v>0</v>
      </c>
      <c r="G145" s="743">
        <v>0</v>
      </c>
      <c r="H145" s="743">
        <f t="shared" si="48"/>
        <v>0</v>
      </c>
      <c r="I145" s="45">
        <f t="shared" si="46"/>
        <v>0</v>
      </c>
      <c r="J145" s="125" t="str">
        <f t="shared" si="42"/>
        <v/>
      </c>
      <c r="K145" s="745">
        <v>0</v>
      </c>
    </row>
    <row r="146" spans="1:12" ht="12.75" customHeight="1" x14ac:dyDescent="0.2">
      <c r="A146" s="583" t="s">
        <v>1357</v>
      </c>
      <c r="B146" s="170"/>
      <c r="C146" s="758"/>
      <c r="D146" s="763">
        <v>0</v>
      </c>
      <c r="E146" s="743"/>
      <c r="F146" s="743"/>
      <c r="G146" s="743"/>
      <c r="H146" s="743">
        <f t="shared" si="48"/>
        <v>0</v>
      </c>
      <c r="I146" s="45">
        <f t="shared" si="46"/>
        <v>0</v>
      </c>
      <c r="J146" s="125" t="str">
        <f t="shared" si="42"/>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9">SUM(C149:C149)</f>
        <v>3882117.6634999998</v>
      </c>
      <c r="D148" s="586">
        <f t="shared" si="49"/>
        <v>4000000</v>
      </c>
      <c r="E148" s="587">
        <f t="shared" si="49"/>
        <v>4000008</v>
      </c>
      <c r="F148" s="587">
        <f t="shared" si="49"/>
        <v>0</v>
      </c>
      <c r="G148" s="587">
        <f t="shared" si="49"/>
        <v>0</v>
      </c>
      <c r="H148" s="587">
        <f t="shared" si="49"/>
        <v>1666670</v>
      </c>
      <c r="I148" s="587">
        <f>H148-G148</f>
        <v>1666670</v>
      </c>
      <c r="J148" s="327">
        <f>IF(I148=0,"",I148/H148)</f>
        <v>1</v>
      </c>
      <c r="K148" s="589">
        <f>SUM(K149)</f>
        <v>4000000</v>
      </c>
    </row>
    <row r="149" spans="1:12" ht="12.75" customHeight="1" x14ac:dyDescent="0.2">
      <c r="A149" s="521" t="s">
        <v>1358</v>
      </c>
      <c r="B149" s="170"/>
      <c r="C149" s="758">
        <v>3882117.6634999998</v>
      </c>
      <c r="D149" s="763">
        <v>4000000</v>
      </c>
      <c r="E149" s="743">
        <v>4000008</v>
      </c>
      <c r="F149" s="965">
        <v>0</v>
      </c>
      <c r="G149" s="743">
        <v>0</v>
      </c>
      <c r="H149" s="743">
        <f>E149/12*5</f>
        <v>1666670</v>
      </c>
      <c r="I149" s="45">
        <f>H149-G149</f>
        <v>1666670</v>
      </c>
      <c r="J149" s="125">
        <f>IF(I149=0,"",I149/H149)</f>
        <v>1</v>
      </c>
      <c r="K149" s="745">
        <v>4000000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0">SUM(C152:C152)</f>
        <v>38420126.049000002</v>
      </c>
      <c r="D151" s="586">
        <f t="shared" si="50"/>
        <v>2400000</v>
      </c>
      <c r="E151" s="587">
        <f t="shared" si="50"/>
        <v>1900000</v>
      </c>
      <c r="F151" s="587">
        <f t="shared" si="50"/>
        <v>0</v>
      </c>
      <c r="G151" s="587">
        <f t="shared" si="50"/>
        <v>405375</v>
      </c>
      <c r="H151" s="587">
        <f t="shared" si="50"/>
        <v>791666.66666666674</v>
      </c>
      <c r="I151" s="587">
        <f>H151-G151</f>
        <v>386291.66666666674</v>
      </c>
      <c r="J151" s="327">
        <f>IF(I151=0,"",I151/H151)</f>
        <v>0.48794736842105269</v>
      </c>
      <c r="K151" s="589">
        <f>SUM(K152)</f>
        <v>1900000</v>
      </c>
    </row>
    <row r="152" spans="1:12" ht="12.75" customHeight="1" x14ac:dyDescent="0.2">
      <c r="A152" s="521" t="s">
        <v>1359</v>
      </c>
      <c r="B152" s="170"/>
      <c r="C152" s="758">
        <v>38420126.049000002</v>
      </c>
      <c r="D152" s="763">
        <v>2400000</v>
      </c>
      <c r="E152" s="743">
        <v>1900000</v>
      </c>
      <c r="F152" s="743"/>
      <c r="G152" s="743">
        <v>405375</v>
      </c>
      <c r="H152" s="743">
        <f>E152/12*5</f>
        <v>791666.66666666674</v>
      </c>
      <c r="I152" s="45">
        <f>H152-G152</f>
        <v>386291.66666666674</v>
      </c>
      <c r="J152" s="125">
        <f>IF(I152=0,"",I152/H152)</f>
        <v>0.48794736842105269</v>
      </c>
      <c r="K152" s="745">
        <v>1900000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1">SUM(C155:C155)</f>
        <v>30192289.956999999</v>
      </c>
      <c r="D154" s="586">
        <f t="shared" si="51"/>
        <v>6986750</v>
      </c>
      <c r="E154" s="587">
        <f t="shared" si="51"/>
        <v>6986724</v>
      </c>
      <c r="F154" s="587">
        <f t="shared" si="51"/>
        <v>0</v>
      </c>
      <c r="G154" s="587">
        <f t="shared" si="51"/>
        <v>5953024.3465</v>
      </c>
      <c r="H154" s="587">
        <f t="shared" si="51"/>
        <v>2911135</v>
      </c>
      <c r="I154" s="587">
        <f>H154-G154</f>
        <v>-3041889.3465</v>
      </c>
      <c r="J154" s="327">
        <f>IF(I154=0,"",I154/H154)</f>
        <v>-1.0449152466306098</v>
      </c>
      <c r="K154" s="589">
        <f>SUM(K155)</f>
        <v>6986750</v>
      </c>
    </row>
    <row r="155" spans="1:12" ht="12.75" customHeight="1" x14ac:dyDescent="0.2">
      <c r="A155" s="521" t="s">
        <v>1360</v>
      </c>
      <c r="B155" s="170"/>
      <c r="C155" s="758">
        <v>30192289.956999999</v>
      </c>
      <c r="D155" s="763">
        <v>6986750</v>
      </c>
      <c r="E155" s="743">
        <v>6986724</v>
      </c>
      <c r="F155" s="743"/>
      <c r="G155" s="743">
        <v>5953024.3465</v>
      </c>
      <c r="H155" s="743">
        <f>E155/12*5</f>
        <v>2911135</v>
      </c>
      <c r="I155" s="45">
        <f>H155-G155</f>
        <v>-3041889.3465</v>
      </c>
      <c r="J155" s="125">
        <f>IF(I155=0,"",I155/H155)</f>
        <v>-1.0449152466306098</v>
      </c>
      <c r="K155" s="745">
        <v>6986750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2">SUM(C158:C158)</f>
        <v>0</v>
      </c>
      <c r="D157" s="586">
        <f t="shared" si="52"/>
        <v>0</v>
      </c>
      <c r="E157" s="587">
        <f t="shared" si="52"/>
        <v>0</v>
      </c>
      <c r="F157" s="587">
        <f t="shared" si="52"/>
        <v>0</v>
      </c>
      <c r="G157" s="587">
        <f t="shared" si="52"/>
        <v>0</v>
      </c>
      <c r="H157" s="587">
        <f t="shared" si="52"/>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980">
        <f>D158/12*2</f>
        <v>0</v>
      </c>
      <c r="I158" s="45">
        <f>H158-G158</f>
        <v>0</v>
      </c>
      <c r="J158" s="125" t="str">
        <f>IF(I158=0,"",I158/H158)</f>
        <v/>
      </c>
      <c r="K158" s="745">
        <f>E158</f>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3">SUM(C161:C161)</f>
        <v>0</v>
      </c>
      <c r="D160" s="586">
        <f t="shared" si="53"/>
        <v>0</v>
      </c>
      <c r="E160" s="587">
        <f t="shared" si="53"/>
        <v>0</v>
      </c>
      <c r="F160" s="587">
        <f t="shared" si="53"/>
        <v>0</v>
      </c>
      <c r="G160" s="587">
        <f t="shared" si="53"/>
        <v>0</v>
      </c>
      <c r="H160" s="587">
        <f t="shared" si="53"/>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4">SUM(C164:C164)</f>
        <v>0</v>
      </c>
      <c r="D163" s="586">
        <f t="shared" si="54"/>
        <v>0</v>
      </c>
      <c r="E163" s="587">
        <f t="shared" si="54"/>
        <v>0</v>
      </c>
      <c r="F163" s="587">
        <f t="shared" si="54"/>
        <v>0</v>
      </c>
      <c r="G163" s="587">
        <f t="shared" si="54"/>
        <v>0</v>
      </c>
      <c r="H163" s="587">
        <f t="shared" si="54"/>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905</v>
      </c>
      <c r="B166" s="237">
        <v>1</v>
      </c>
      <c r="C166" s="113">
        <f t="shared" ref="C166:H166" si="55">C7+C75+C103+C110+C117+C135+C138+C148+C151+C154+C157+C160+C163</f>
        <v>971545116.14745355</v>
      </c>
      <c r="D166" s="272">
        <f t="shared" si="55"/>
        <v>1183309663</v>
      </c>
      <c r="E166" s="56">
        <f t="shared" si="55"/>
        <v>1141260716</v>
      </c>
      <c r="F166" s="56">
        <f t="shared" si="55"/>
        <v>74774393.052499995</v>
      </c>
      <c r="G166" s="56">
        <f t="shared" si="55"/>
        <v>277708504.39350015</v>
      </c>
      <c r="H166" s="56">
        <f t="shared" si="55"/>
        <v>475525298.33333337</v>
      </c>
      <c r="I166" s="56">
        <f>H166-G166</f>
        <v>197816793.93983322</v>
      </c>
      <c r="J166" s="293">
        <f>IF(I166=0,"",I166/H166)</f>
        <v>0.41599636156721942</v>
      </c>
      <c r="K166" s="236">
        <f>K7+K75+K103+K110+K117+K135+K138+K148+K151+K154+K157+K160+K163</f>
        <v>1141260729</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C166+SC13b!C166+SC13e!C166-'C5-Capex'!C40</f>
        <v>0</v>
      </c>
      <c r="D171" s="136">
        <f>D166+SC13b!D166+SC13e!D166-'C5-Capex'!D40</f>
        <v>0</v>
      </c>
      <c r="E171" s="136">
        <f>E166+SC13b!E166+SC13e!E166-'C5-Capex'!E40</f>
        <v>0</v>
      </c>
      <c r="F171" s="136">
        <f>F166+SC13b!F166+SC13e!F166-'C5-Capex'!F40</f>
        <v>0</v>
      </c>
      <c r="G171" s="136">
        <f>G166+SC13b!G166+SC13e!G166-'C5-Capex'!G40</f>
        <v>1.4998912811279297E-3</v>
      </c>
      <c r="H171" s="136">
        <f>H166+SC13b!H166+SC13e!H166-'C5-Capex'!H40</f>
        <v>0</v>
      </c>
      <c r="I171" s="136"/>
      <c r="J171" s="136"/>
      <c r="K171" s="136">
        <f>K166+SC13b!K166+SC13e!K166-'C5-Capex'!K40</f>
        <v>25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5748031496062992" top="0.78740157480314965" bottom="0.59055118110236227" header="0.51181102362204722" footer="0.51181102362204722"/>
  <pageSetup paperSize="9" scale="3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"&amp;S71Sb&amp; " - "&amp;Head57</f>
        <v>LIM354 Polokwane - Supporting Table SC13b Monthly Budget Statement - capital expenditure on renewal of existing assets by asset class - M05 November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907</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227090934</v>
      </c>
      <c r="D7" s="611">
        <f t="shared" si="0"/>
        <v>237605792</v>
      </c>
      <c r="E7" s="103">
        <f t="shared" si="0"/>
        <v>237605792</v>
      </c>
      <c r="F7" s="103">
        <f t="shared" si="0"/>
        <v>10277459.506499998</v>
      </c>
      <c r="G7" s="103">
        <f t="shared" si="0"/>
        <v>32476174.661999997</v>
      </c>
      <c r="H7" s="103">
        <f t="shared" si="0"/>
        <v>99002413.333333328</v>
      </c>
      <c r="I7" s="102">
        <f t="shared" ref="I7:I133" si="1">H7-G7</f>
        <v>66526238.671333328</v>
      </c>
      <c r="J7" s="588">
        <f t="shared" ref="J7:J136" si="2">IF(I7=0,"",I7/H7)</f>
        <v>0.67196582822021445</v>
      </c>
      <c r="K7" s="612">
        <f>K8+K13+K17+K27+K38+K45+K53+K63+K69</f>
        <v>237605792</v>
      </c>
    </row>
    <row r="8" spans="1:11" ht="12.75" customHeight="1" x14ac:dyDescent="0.2">
      <c r="A8" s="521" t="s">
        <v>1253</v>
      </c>
      <c r="B8" s="170"/>
      <c r="C8" s="686">
        <f t="shared" ref="C8:H8" si="3">SUM(C9:C12)</f>
        <v>91641579</v>
      </c>
      <c r="D8" s="618">
        <f t="shared" si="3"/>
        <v>3705000</v>
      </c>
      <c r="E8" s="617">
        <f t="shared" si="3"/>
        <v>3705000</v>
      </c>
      <c r="F8" s="617">
        <f t="shared" si="3"/>
        <v>0</v>
      </c>
      <c r="G8" s="617">
        <f t="shared" si="3"/>
        <v>2562870.7719999999</v>
      </c>
      <c r="H8" s="617">
        <f t="shared" si="3"/>
        <v>1543750</v>
      </c>
      <c r="I8" s="259">
        <f t="shared" si="1"/>
        <v>-1019120.7719999999</v>
      </c>
      <c r="J8" s="584">
        <f t="shared" si="2"/>
        <v>-0.6601592045344129</v>
      </c>
      <c r="K8" s="619">
        <f>SUM(K9:K12)</f>
        <v>3705000</v>
      </c>
    </row>
    <row r="9" spans="1:11" ht="12.75" customHeight="1" x14ac:dyDescent="0.2">
      <c r="A9" s="583" t="s">
        <v>175</v>
      </c>
      <c r="B9" s="170"/>
      <c r="C9" s="758"/>
      <c r="D9" s="755">
        <v>3705000</v>
      </c>
      <c r="E9" s="743">
        <v>3705000</v>
      </c>
      <c r="F9" s="743"/>
      <c r="G9" s="743">
        <v>2562870.7719999999</v>
      </c>
      <c r="H9" s="743">
        <f>E9/12*5</f>
        <v>1543750</v>
      </c>
      <c r="I9" s="259">
        <f t="shared" si="1"/>
        <v>-1019120.7719999999</v>
      </c>
      <c r="J9" s="584">
        <f t="shared" si="2"/>
        <v>-0.6601592045344129</v>
      </c>
      <c r="K9" s="745">
        <v>3705000</v>
      </c>
    </row>
    <row r="10" spans="1:11" ht="12.75" customHeight="1" x14ac:dyDescent="0.2">
      <c r="A10" s="583" t="s">
        <v>1254</v>
      </c>
      <c r="B10" s="170"/>
      <c r="C10" s="758">
        <f>73383341+18258238</f>
        <v>91641579</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8146032</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c r="E14" s="743">
        <v>0</v>
      </c>
      <c r="F14" s="743">
        <v>0</v>
      </c>
      <c r="G14" s="743">
        <v>0</v>
      </c>
      <c r="H14" s="743">
        <f>D14/12*37</f>
        <v>0</v>
      </c>
      <c r="I14" s="259">
        <f t="shared" si="1"/>
        <v>0</v>
      </c>
      <c r="J14" s="584" t="str">
        <f t="shared" si="2"/>
        <v/>
      </c>
      <c r="K14" s="745">
        <v>0</v>
      </c>
    </row>
    <row r="15" spans="1:11" ht="12.75" customHeight="1" x14ac:dyDescent="0.2">
      <c r="A15" s="583" t="s">
        <v>1259</v>
      </c>
      <c r="B15" s="170"/>
      <c r="C15" s="758"/>
      <c r="D15" s="755"/>
      <c r="E15" s="743">
        <v>0</v>
      </c>
      <c r="F15" s="743">
        <v>0</v>
      </c>
      <c r="G15" s="743">
        <v>0</v>
      </c>
      <c r="H15" s="743">
        <f>D15/12*37</f>
        <v>0</v>
      </c>
      <c r="I15" s="259">
        <f t="shared" si="1"/>
        <v>0</v>
      </c>
      <c r="J15" s="584" t="str">
        <f t="shared" si="2"/>
        <v/>
      </c>
      <c r="K15" s="745">
        <v>0</v>
      </c>
    </row>
    <row r="16" spans="1:11" ht="12.75" customHeight="1" x14ac:dyDescent="0.2">
      <c r="A16" s="583" t="s">
        <v>1260</v>
      </c>
      <c r="B16" s="170"/>
      <c r="C16" s="758">
        <v>8146032</v>
      </c>
      <c r="D16" s="755"/>
      <c r="E16" s="743"/>
      <c r="F16" s="743">
        <v>0</v>
      </c>
      <c r="G16" s="743">
        <v>0</v>
      </c>
      <c r="H16" s="743">
        <f>D16/12*37</f>
        <v>0</v>
      </c>
      <c r="I16" s="259">
        <f t="shared" si="1"/>
        <v>0</v>
      </c>
      <c r="J16" s="584" t="str">
        <f t="shared" si="2"/>
        <v/>
      </c>
      <c r="K16" s="745"/>
    </row>
    <row r="17" spans="1:11" ht="12.75" customHeight="1" x14ac:dyDescent="0.2">
      <c r="A17" s="521" t="s">
        <v>1261</v>
      </c>
      <c r="B17" s="170"/>
      <c r="C17" s="657">
        <f t="shared" ref="C17:H17" si="5">SUM(C18:C26)</f>
        <v>3076978</v>
      </c>
      <c r="D17" s="658">
        <f t="shared" si="5"/>
        <v>2000000.0000000002</v>
      </c>
      <c r="E17" s="411">
        <f t="shared" si="5"/>
        <v>2000000</v>
      </c>
      <c r="F17" s="411">
        <f t="shared" si="5"/>
        <v>0</v>
      </c>
      <c r="G17" s="411">
        <f t="shared" si="5"/>
        <v>0</v>
      </c>
      <c r="H17" s="411">
        <f t="shared" si="5"/>
        <v>833333.33333333326</v>
      </c>
      <c r="I17" s="259">
        <f t="shared" si="1"/>
        <v>833333.33333333326</v>
      </c>
      <c r="J17" s="584">
        <f t="shared" si="2"/>
        <v>1</v>
      </c>
      <c r="K17" s="651">
        <f>SUM(K18:K26)</f>
        <v>2000000.0000000002</v>
      </c>
    </row>
    <row r="18" spans="1:11" ht="12.75" customHeight="1" x14ac:dyDescent="0.2">
      <c r="A18" s="583" t="s">
        <v>1262</v>
      </c>
      <c r="B18" s="170"/>
      <c r="C18" s="758">
        <v>0</v>
      </c>
      <c r="D18" s="755">
        <v>0</v>
      </c>
      <c r="E18" s="743">
        <v>0</v>
      </c>
      <c r="F18" s="743">
        <v>0</v>
      </c>
      <c r="G18" s="743">
        <v>0</v>
      </c>
      <c r="H18" s="743">
        <f>E18/12*8</f>
        <v>0</v>
      </c>
      <c r="I18" s="259">
        <f t="shared" si="1"/>
        <v>0</v>
      </c>
      <c r="J18" s="584" t="str">
        <f t="shared" si="2"/>
        <v/>
      </c>
      <c r="K18" s="745">
        <v>0</v>
      </c>
    </row>
    <row r="19" spans="1:11" ht="12.75" customHeight="1" x14ac:dyDescent="0.2">
      <c r="A19" s="583" t="s">
        <v>1263</v>
      </c>
      <c r="B19" s="170"/>
      <c r="C19" s="758">
        <v>0</v>
      </c>
      <c r="D19" s="755">
        <v>0</v>
      </c>
      <c r="E19" s="743">
        <v>0</v>
      </c>
      <c r="F19" s="743">
        <v>0</v>
      </c>
      <c r="G19" s="743">
        <v>0</v>
      </c>
      <c r="H19" s="743">
        <f t="shared" ref="H19:H44" si="6">E19/12*8</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3076978</v>
      </c>
      <c r="D21" s="755">
        <v>2000000.0000000002</v>
      </c>
      <c r="E21" s="743">
        <v>2000000</v>
      </c>
      <c r="F21" s="743">
        <v>0</v>
      </c>
      <c r="G21" s="743">
        <v>0</v>
      </c>
      <c r="H21" s="743">
        <f>E21/12*5</f>
        <v>833333.33333333326</v>
      </c>
      <c r="I21" s="259">
        <f t="shared" si="1"/>
        <v>833333.33333333326</v>
      </c>
      <c r="J21" s="584">
        <f t="shared" si="2"/>
        <v>1</v>
      </c>
      <c r="K21" s="745">
        <v>2000000.0000000002</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f t="shared" ref="K26" si="7">D26</f>
        <v>0</v>
      </c>
    </row>
    <row r="27" spans="1:11" ht="12.75" customHeight="1" x14ac:dyDescent="0.2">
      <c r="A27" s="520" t="s">
        <v>1270</v>
      </c>
      <c r="B27" s="170"/>
      <c r="C27" s="657">
        <f t="shared" ref="C27:H27" si="8">SUM(C28:C37)</f>
        <v>124226345</v>
      </c>
      <c r="D27" s="658">
        <f t="shared" si="8"/>
        <v>0</v>
      </c>
      <c r="E27" s="411">
        <f t="shared" si="8"/>
        <v>0</v>
      </c>
      <c r="F27" s="411">
        <f t="shared" si="8"/>
        <v>0</v>
      </c>
      <c r="G27" s="411">
        <f t="shared" si="8"/>
        <v>0</v>
      </c>
      <c r="H27" s="411">
        <f t="shared" si="8"/>
        <v>0</v>
      </c>
      <c r="I27" s="259">
        <f t="shared" si="1"/>
        <v>0</v>
      </c>
      <c r="J27" s="584" t="str">
        <f t="shared" si="2"/>
        <v/>
      </c>
      <c r="K27" s="651">
        <f>SUM(K28:K37)</f>
        <v>0</v>
      </c>
    </row>
    <row r="28" spans="1:11" ht="12.75" customHeight="1" x14ac:dyDescent="0.2">
      <c r="A28" s="583" t="s">
        <v>1271</v>
      </c>
      <c r="B28" s="170"/>
      <c r="C28" s="758">
        <v>0</v>
      </c>
      <c r="D28" s="755">
        <v>0</v>
      </c>
      <c r="E28" s="743">
        <v>0</v>
      </c>
      <c r="F28" s="743">
        <v>0</v>
      </c>
      <c r="G28" s="743">
        <v>0</v>
      </c>
      <c r="H28" s="743">
        <f t="shared" si="6"/>
        <v>0</v>
      </c>
      <c r="I28" s="259">
        <f>H28-G28</f>
        <v>0</v>
      </c>
      <c r="J28" s="584" t="str">
        <f>IF(I28=0,"",I28/H28)</f>
        <v/>
      </c>
      <c r="K28" s="745">
        <v>0</v>
      </c>
    </row>
    <row r="29" spans="1:11" ht="12.75" customHeight="1" x14ac:dyDescent="0.2">
      <c r="A29" s="583" t="s">
        <v>1272</v>
      </c>
      <c r="B29" s="170"/>
      <c r="C29" s="758">
        <v>0</v>
      </c>
      <c r="D29" s="755">
        <v>0</v>
      </c>
      <c r="E29" s="743">
        <v>0</v>
      </c>
      <c r="F29" s="743">
        <v>0</v>
      </c>
      <c r="G29" s="743">
        <v>0</v>
      </c>
      <c r="H29" s="743">
        <f t="shared" si="6"/>
        <v>0</v>
      </c>
      <c r="I29" s="259">
        <f>H29-G29</f>
        <v>0</v>
      </c>
      <c r="J29" s="584" t="str">
        <f>IF(I29=0,"",I29/H29)</f>
        <v/>
      </c>
      <c r="K29" s="745">
        <v>0</v>
      </c>
    </row>
    <row r="30" spans="1:11" ht="12.75" customHeight="1" x14ac:dyDescent="0.2">
      <c r="A30" s="583" t="s">
        <v>1273</v>
      </c>
      <c r="B30" s="170"/>
      <c r="C30" s="758">
        <v>0</v>
      </c>
      <c r="D30" s="755">
        <v>0</v>
      </c>
      <c r="E30" s="743">
        <v>0</v>
      </c>
      <c r="F30" s="743">
        <v>0</v>
      </c>
      <c r="G30" s="743">
        <v>0</v>
      </c>
      <c r="H30" s="743">
        <f t="shared" si="6"/>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6"/>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6"/>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6"/>
        <v>0</v>
      </c>
      <c r="I33" s="259">
        <f t="shared" si="1"/>
        <v>0</v>
      </c>
      <c r="J33" s="584" t="str">
        <f t="shared" si="2"/>
        <v/>
      </c>
      <c r="K33" s="745">
        <v>0</v>
      </c>
    </row>
    <row r="34" spans="1:11" ht="12.75" customHeight="1" x14ac:dyDescent="0.2">
      <c r="A34" s="583" t="s">
        <v>1277</v>
      </c>
      <c r="B34" s="170"/>
      <c r="C34" s="758">
        <v>124226345</v>
      </c>
      <c r="D34" s="755">
        <v>0</v>
      </c>
      <c r="E34" s="743">
        <v>0</v>
      </c>
      <c r="F34" s="743">
        <v>0</v>
      </c>
      <c r="G34" s="743">
        <v>0</v>
      </c>
      <c r="H34" s="743">
        <f>E34</f>
        <v>0</v>
      </c>
      <c r="I34" s="259">
        <f t="shared" si="1"/>
        <v>0</v>
      </c>
      <c r="J34" s="584" t="str">
        <f t="shared" si="2"/>
        <v/>
      </c>
      <c r="K34" s="745">
        <f>E34</f>
        <v>0</v>
      </c>
    </row>
    <row r="35" spans="1:11" ht="12.75" customHeight="1" x14ac:dyDescent="0.2">
      <c r="A35" s="583" t="s">
        <v>1278</v>
      </c>
      <c r="B35" s="170"/>
      <c r="C35" s="758">
        <v>0</v>
      </c>
      <c r="D35" s="755">
        <v>0</v>
      </c>
      <c r="E35" s="743">
        <v>0</v>
      </c>
      <c r="F35" s="743">
        <v>0</v>
      </c>
      <c r="G35" s="743">
        <v>0</v>
      </c>
      <c r="H35" s="743">
        <f t="shared" si="6"/>
        <v>0</v>
      </c>
      <c r="I35" s="259">
        <f t="shared" si="1"/>
        <v>0</v>
      </c>
      <c r="J35" s="584" t="str">
        <f t="shared" si="2"/>
        <v/>
      </c>
      <c r="K35" s="745">
        <v>0</v>
      </c>
    </row>
    <row r="36" spans="1:11" ht="12.75" customHeight="1" x14ac:dyDescent="0.2">
      <c r="A36" s="583" t="s">
        <v>1279</v>
      </c>
      <c r="B36" s="170"/>
      <c r="C36" s="758">
        <v>0</v>
      </c>
      <c r="D36" s="755">
        <v>0</v>
      </c>
      <c r="E36" s="743">
        <v>0</v>
      </c>
      <c r="F36" s="743">
        <v>0</v>
      </c>
      <c r="G36" s="743">
        <v>0</v>
      </c>
      <c r="H36" s="743">
        <f t="shared" si="6"/>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6"/>
        <v>0</v>
      </c>
      <c r="I37" s="259">
        <f t="shared" si="1"/>
        <v>0</v>
      </c>
      <c r="J37" s="584" t="str">
        <f t="shared" si="2"/>
        <v/>
      </c>
      <c r="K37" s="745">
        <v>0</v>
      </c>
    </row>
    <row r="38" spans="1:11" ht="12.75" customHeight="1" x14ac:dyDescent="0.2">
      <c r="A38" s="520" t="s">
        <v>1280</v>
      </c>
      <c r="B38" s="170"/>
      <c r="C38" s="657">
        <f t="shared" ref="C38:H38" si="9">SUM(C39:C44)</f>
        <v>0</v>
      </c>
      <c r="D38" s="658">
        <f t="shared" si="9"/>
        <v>231900792</v>
      </c>
      <c r="E38" s="411">
        <f t="shared" si="9"/>
        <v>231900792</v>
      </c>
      <c r="F38" s="411">
        <f t="shared" si="9"/>
        <v>10277459.506499998</v>
      </c>
      <c r="G38" s="411">
        <f t="shared" si="9"/>
        <v>29913303.889999997</v>
      </c>
      <c r="H38" s="411">
        <f t="shared" si="9"/>
        <v>96625330</v>
      </c>
      <c r="I38" s="259">
        <f t="shared" si="1"/>
        <v>66712026.109999999</v>
      </c>
      <c r="J38" s="584">
        <f t="shared" si="2"/>
        <v>0.69041964575955395</v>
      </c>
      <c r="K38" s="651">
        <f>SUM(K39:K44)</f>
        <v>231900792</v>
      </c>
    </row>
    <row r="39" spans="1:11" ht="12.75" customHeight="1" x14ac:dyDescent="0.2">
      <c r="A39" s="583" t="s">
        <v>1281</v>
      </c>
      <c r="B39" s="170"/>
      <c r="C39" s="758">
        <v>0</v>
      </c>
      <c r="D39" s="755">
        <v>0</v>
      </c>
      <c r="E39" s="743">
        <v>0</v>
      </c>
      <c r="F39" s="743">
        <v>0</v>
      </c>
      <c r="G39" s="743">
        <v>0</v>
      </c>
      <c r="H39" s="743">
        <f t="shared" si="6"/>
        <v>0</v>
      </c>
      <c r="I39" s="259">
        <f t="shared" si="1"/>
        <v>0</v>
      </c>
      <c r="J39" s="584" t="str">
        <f t="shared" si="2"/>
        <v/>
      </c>
      <c r="K39" s="745">
        <f t="shared" ref="K39:K44" si="10">D39</f>
        <v>0</v>
      </c>
    </row>
    <row r="40" spans="1:11" ht="12.75" customHeight="1" x14ac:dyDescent="0.2">
      <c r="A40" s="583" t="s">
        <v>141</v>
      </c>
      <c r="B40" s="170"/>
      <c r="C40" s="758">
        <v>0</v>
      </c>
      <c r="D40" s="755">
        <v>0</v>
      </c>
      <c r="E40" s="743">
        <v>0</v>
      </c>
      <c r="F40" s="743">
        <v>0</v>
      </c>
      <c r="G40" s="743">
        <v>0</v>
      </c>
      <c r="H40" s="743">
        <f t="shared" si="6"/>
        <v>0</v>
      </c>
      <c r="I40" s="259">
        <f t="shared" si="1"/>
        <v>0</v>
      </c>
      <c r="J40" s="584" t="str">
        <f t="shared" si="2"/>
        <v/>
      </c>
      <c r="K40" s="745">
        <f t="shared" si="10"/>
        <v>0</v>
      </c>
    </row>
    <row r="41" spans="1:11" ht="12.75" customHeight="1" x14ac:dyDescent="0.2">
      <c r="A41" s="583" t="s">
        <v>1282</v>
      </c>
      <c r="B41" s="170"/>
      <c r="C41" s="758">
        <v>0</v>
      </c>
      <c r="D41" s="755">
        <v>231900792</v>
      </c>
      <c r="E41" s="743">
        <v>231900792</v>
      </c>
      <c r="F41" s="743">
        <v>10277459.506499998</v>
      </c>
      <c r="G41" s="743">
        <f>19635844.3835+F41</f>
        <v>29913303.889999997</v>
      </c>
      <c r="H41" s="743">
        <f>E41/12*5</f>
        <v>96625330</v>
      </c>
      <c r="I41" s="259">
        <f t="shared" si="1"/>
        <v>66712026.109999999</v>
      </c>
      <c r="J41" s="584">
        <f t="shared" si="2"/>
        <v>0.69041964575955395</v>
      </c>
      <c r="K41" s="745">
        <v>231900792</v>
      </c>
    </row>
    <row r="42" spans="1:11" ht="12.75" customHeight="1" x14ac:dyDescent="0.2">
      <c r="A42" s="583" t="s">
        <v>1283</v>
      </c>
      <c r="B42" s="170"/>
      <c r="C42" s="758">
        <v>0</v>
      </c>
      <c r="D42" s="755">
        <v>0</v>
      </c>
      <c r="E42" s="743">
        <v>0</v>
      </c>
      <c r="F42" s="743">
        <v>0</v>
      </c>
      <c r="G42" s="743">
        <v>0</v>
      </c>
      <c r="H42" s="743">
        <f t="shared" si="6"/>
        <v>0</v>
      </c>
      <c r="I42" s="259">
        <f>H42-G42</f>
        <v>0</v>
      </c>
      <c r="J42" s="584" t="str">
        <f>IF(I42=0,"",I42/H42)</f>
        <v/>
      </c>
      <c r="K42" s="745">
        <f t="shared" si="10"/>
        <v>0</v>
      </c>
    </row>
    <row r="43" spans="1:11" ht="12.75" customHeight="1" x14ac:dyDescent="0.2">
      <c r="A43" s="583" t="s">
        <v>1284</v>
      </c>
      <c r="B43" s="170"/>
      <c r="C43" s="758">
        <v>0</v>
      </c>
      <c r="D43" s="755">
        <v>0</v>
      </c>
      <c r="E43" s="743">
        <v>0</v>
      </c>
      <c r="F43" s="743">
        <v>0</v>
      </c>
      <c r="G43" s="743">
        <v>0</v>
      </c>
      <c r="H43" s="743">
        <f t="shared" si="6"/>
        <v>0</v>
      </c>
      <c r="I43" s="259">
        <f t="shared" si="1"/>
        <v>0</v>
      </c>
      <c r="J43" s="584" t="str">
        <f t="shared" si="2"/>
        <v/>
      </c>
      <c r="K43" s="745">
        <f t="shared" si="10"/>
        <v>0</v>
      </c>
    </row>
    <row r="44" spans="1:11" ht="12.75" customHeight="1" x14ac:dyDescent="0.2">
      <c r="A44" s="583" t="s">
        <v>1256</v>
      </c>
      <c r="B44" s="170"/>
      <c r="C44" s="758">
        <v>0</v>
      </c>
      <c r="D44" s="755">
        <v>0</v>
      </c>
      <c r="E44" s="743">
        <v>0</v>
      </c>
      <c r="F44" s="743">
        <v>0</v>
      </c>
      <c r="G44" s="743">
        <v>0</v>
      </c>
      <c r="H44" s="743">
        <f t="shared" si="6"/>
        <v>0</v>
      </c>
      <c r="I44" s="259">
        <f>H44-G44</f>
        <v>0</v>
      </c>
      <c r="J44" s="584" t="str">
        <f>IF(I44=0,"",I44/H44)</f>
        <v/>
      </c>
      <c r="K44" s="745">
        <f t="shared" si="10"/>
        <v>0</v>
      </c>
    </row>
    <row r="45" spans="1:11" ht="12.75" customHeight="1" x14ac:dyDescent="0.2">
      <c r="A45" s="520" t="s">
        <v>1285</v>
      </c>
      <c r="B45" s="170"/>
      <c r="C45" s="657">
        <f t="shared" ref="C45:H45" si="11">SUM(C46:C52)</f>
        <v>0</v>
      </c>
      <c r="D45" s="658">
        <f t="shared" si="11"/>
        <v>0</v>
      </c>
      <c r="E45" s="411">
        <f t="shared" si="11"/>
        <v>0</v>
      </c>
      <c r="F45" s="411">
        <f t="shared" si="11"/>
        <v>0</v>
      </c>
      <c r="G45" s="411">
        <f t="shared" si="11"/>
        <v>0</v>
      </c>
      <c r="H45" s="411">
        <f t="shared" si="11"/>
        <v>0</v>
      </c>
      <c r="I45" s="259">
        <f t="shared" si="1"/>
        <v>0</v>
      </c>
      <c r="J45" s="584" t="str">
        <f t="shared" si="2"/>
        <v/>
      </c>
      <c r="K45" s="651">
        <f>SUM(K46:K52)</f>
        <v>0</v>
      </c>
    </row>
    <row r="46" spans="1:11" ht="12.75" customHeight="1" x14ac:dyDescent="0.2">
      <c r="A46" s="583" t="s">
        <v>1286</v>
      </c>
      <c r="B46" s="170"/>
      <c r="C46" s="758">
        <v>0</v>
      </c>
      <c r="D46" s="755">
        <v>0</v>
      </c>
      <c r="E46" s="743">
        <v>0</v>
      </c>
      <c r="F46" s="743">
        <v>0</v>
      </c>
      <c r="G46" s="743">
        <v>0</v>
      </c>
      <c r="H46" s="743">
        <f>E46/12*8</f>
        <v>0</v>
      </c>
      <c r="I46" s="259">
        <f t="shared" si="1"/>
        <v>0</v>
      </c>
      <c r="J46" s="584" t="str">
        <f t="shared" si="2"/>
        <v/>
      </c>
      <c r="K46" s="745">
        <v>0</v>
      </c>
    </row>
    <row r="47" spans="1:11" ht="12.75" customHeight="1" x14ac:dyDescent="0.2">
      <c r="A47" s="583" t="s">
        <v>1287</v>
      </c>
      <c r="B47" s="170"/>
      <c r="C47" s="758">
        <v>0</v>
      </c>
      <c r="D47" s="755">
        <v>0</v>
      </c>
      <c r="E47" s="743">
        <v>0</v>
      </c>
      <c r="F47" s="743">
        <v>0</v>
      </c>
      <c r="G47" s="743">
        <v>0</v>
      </c>
      <c r="H47" s="743">
        <f t="shared" ref="H47:H52" si="12">E47/12*8</f>
        <v>0</v>
      </c>
      <c r="I47" s="259">
        <f t="shared" si="1"/>
        <v>0</v>
      </c>
      <c r="J47" s="584" t="str">
        <f t="shared" si="2"/>
        <v/>
      </c>
      <c r="K47" s="745">
        <v>0</v>
      </c>
    </row>
    <row r="48" spans="1:11" ht="12.75" customHeight="1" x14ac:dyDescent="0.2">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 t="shared" si="12"/>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row>
    <row r="63" spans="1:11" ht="12.75" customHeight="1" x14ac:dyDescent="0.2">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5">SUM(C70:C73)</f>
        <v>0</v>
      </c>
      <c r="D69" s="658">
        <f t="shared" si="15"/>
        <v>0</v>
      </c>
      <c r="E69" s="411">
        <f t="shared" si="15"/>
        <v>0</v>
      </c>
      <c r="F69" s="411">
        <f t="shared" si="15"/>
        <v>0</v>
      </c>
      <c r="G69" s="411">
        <f t="shared" si="15"/>
        <v>0</v>
      </c>
      <c r="H69" s="411">
        <f t="shared" si="15"/>
        <v>0</v>
      </c>
      <c r="I69" s="259">
        <f t="shared" si="1"/>
        <v>0</v>
      </c>
      <c r="J69" s="584" t="str">
        <f t="shared" si="2"/>
        <v/>
      </c>
      <c r="K69" s="651">
        <f>SUM(K70:K73)</f>
        <v>0</v>
      </c>
    </row>
    <row r="70" spans="1:11" ht="12.75" customHeight="1" x14ac:dyDescent="0.2">
      <c r="A70" s="583" t="s">
        <v>1302</v>
      </c>
      <c r="B70" s="170"/>
      <c r="C70" s="758">
        <v>0</v>
      </c>
      <c r="D70" s="755"/>
      <c r="E70" s="743"/>
      <c r="F70" s="743">
        <v>0</v>
      </c>
      <c r="G70" s="743">
        <v>0</v>
      </c>
      <c r="H70" s="973"/>
      <c r="I70" s="259">
        <f t="shared" si="1"/>
        <v>0</v>
      </c>
      <c r="J70" s="584" t="str">
        <f t="shared" si="2"/>
        <v/>
      </c>
      <c r="K70" s="745">
        <f>D69:D70</f>
        <v>0</v>
      </c>
    </row>
    <row r="71" spans="1:11" ht="12.75" customHeight="1" x14ac:dyDescent="0.2">
      <c r="A71" s="583" t="s">
        <v>1303</v>
      </c>
      <c r="B71" s="170"/>
      <c r="C71" s="758">
        <v>0</v>
      </c>
      <c r="D71" s="755">
        <v>0</v>
      </c>
      <c r="E71" s="743">
        <v>0</v>
      </c>
      <c r="F71" s="743">
        <v>0</v>
      </c>
      <c r="G71" s="743">
        <v>0</v>
      </c>
      <c r="H71" s="743">
        <f>D71/12*7</f>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f>D72/12*7</f>
        <v>0</v>
      </c>
      <c r="I72" s="259">
        <f t="shared" si="1"/>
        <v>0</v>
      </c>
      <c r="J72" s="584" t="str">
        <f t="shared" si="2"/>
        <v/>
      </c>
      <c r="K72" s="745">
        <v>0</v>
      </c>
    </row>
    <row r="73" spans="1:11" ht="12.75" customHeight="1" x14ac:dyDescent="0.2">
      <c r="A73" s="583" t="s">
        <v>1256</v>
      </c>
      <c r="B73" s="170"/>
      <c r="C73" s="758">
        <v>0</v>
      </c>
      <c r="D73" s="755">
        <v>0</v>
      </c>
      <c r="E73" s="743"/>
      <c r="F73" s="743">
        <v>0</v>
      </c>
      <c r="G73" s="743">
        <v>0</v>
      </c>
      <c r="H73" s="743">
        <f>E73</f>
        <v>0</v>
      </c>
      <c r="I73" s="259">
        <f t="shared" si="1"/>
        <v>0</v>
      </c>
      <c r="J73" s="584" t="str">
        <f t="shared" si="2"/>
        <v/>
      </c>
      <c r="K73" s="745">
        <f>E73</f>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0</v>
      </c>
      <c r="D75" s="586">
        <f t="shared" si="16"/>
        <v>5818700</v>
      </c>
      <c r="E75" s="587">
        <f t="shared" si="16"/>
        <v>5483708</v>
      </c>
      <c r="F75" s="587">
        <f t="shared" si="16"/>
        <v>0</v>
      </c>
      <c r="G75" s="587">
        <f t="shared" si="16"/>
        <v>500000.00150000001</v>
      </c>
      <c r="H75" s="587">
        <f t="shared" si="16"/>
        <v>2284878.333333333</v>
      </c>
      <c r="I75" s="587">
        <f t="shared" si="1"/>
        <v>1784878.331833333</v>
      </c>
      <c r="J75" s="588">
        <f t="shared" si="2"/>
        <v>0.78116996681807271</v>
      </c>
      <c r="K75" s="589">
        <f>+K76+K99</f>
        <v>5483708</v>
      </c>
    </row>
    <row r="76" spans="1:11" ht="12.75" customHeight="1" x14ac:dyDescent="0.2">
      <c r="A76" s="521" t="s">
        <v>1305</v>
      </c>
      <c r="B76" s="170"/>
      <c r="C76" s="657">
        <f t="shared" ref="C76:H76" si="17">SUM(C77:C98)</f>
        <v>0</v>
      </c>
      <c r="D76" s="658">
        <f t="shared" si="17"/>
        <v>4818700</v>
      </c>
      <c r="E76" s="411">
        <f t="shared" si="17"/>
        <v>4483708</v>
      </c>
      <c r="F76" s="411">
        <f t="shared" si="17"/>
        <v>0</v>
      </c>
      <c r="G76" s="411">
        <f t="shared" si="17"/>
        <v>500000.00150000001</v>
      </c>
      <c r="H76" s="411">
        <f t="shared" si="17"/>
        <v>1868211.6666666665</v>
      </c>
      <c r="I76" s="259">
        <f t="shared" si="1"/>
        <v>1368211.6651666665</v>
      </c>
      <c r="J76" s="584">
        <f t="shared" si="2"/>
        <v>0.73236437261302467</v>
      </c>
      <c r="K76" s="651">
        <f>SUM(K77:K98)</f>
        <v>4483708</v>
      </c>
    </row>
    <row r="77" spans="1:11" ht="12.75" customHeight="1" x14ac:dyDescent="0.2">
      <c r="A77" s="583" t="s">
        <v>1306</v>
      </c>
      <c r="B77" s="170"/>
      <c r="C77" s="758">
        <v>0</v>
      </c>
      <c r="D77" s="763">
        <v>0</v>
      </c>
      <c r="E77" s="743">
        <v>0</v>
      </c>
      <c r="F77" s="743">
        <v>0</v>
      </c>
      <c r="G77" s="743">
        <v>0</v>
      </c>
      <c r="H77" s="743">
        <f>D77/12*7</f>
        <v>0</v>
      </c>
      <c r="I77" s="45">
        <f t="shared" si="1"/>
        <v>0</v>
      </c>
      <c r="J77" s="125" t="str">
        <f t="shared" si="2"/>
        <v/>
      </c>
      <c r="K77" s="745">
        <v>0</v>
      </c>
    </row>
    <row r="78" spans="1:11" ht="12.75" customHeight="1" x14ac:dyDescent="0.2">
      <c r="A78" s="583" t="s">
        <v>1307</v>
      </c>
      <c r="B78" s="170"/>
      <c r="C78" s="758">
        <v>0</v>
      </c>
      <c r="D78" s="763">
        <v>0</v>
      </c>
      <c r="E78" s="743"/>
      <c r="F78" s="743">
        <v>0</v>
      </c>
      <c r="G78" s="743">
        <v>0</v>
      </c>
      <c r="H78" s="743">
        <f t="shared" ref="H78:H97" si="18">D78/12*7</f>
        <v>0</v>
      </c>
      <c r="I78" s="45">
        <f t="shared" si="1"/>
        <v>0</v>
      </c>
      <c r="J78" s="125" t="str">
        <f t="shared" si="2"/>
        <v/>
      </c>
      <c r="K78" s="745">
        <v>0</v>
      </c>
    </row>
    <row r="79" spans="1:11" ht="12.75" customHeight="1" x14ac:dyDescent="0.2">
      <c r="A79" s="583" t="s">
        <v>1308</v>
      </c>
      <c r="B79" s="170"/>
      <c r="C79" s="758">
        <v>0</v>
      </c>
      <c r="D79" s="763">
        <v>0</v>
      </c>
      <c r="E79" s="743">
        <v>0</v>
      </c>
      <c r="F79" s="743">
        <v>0</v>
      </c>
      <c r="G79" s="743">
        <v>0</v>
      </c>
      <c r="H79" s="743">
        <f>E79</f>
        <v>0</v>
      </c>
      <c r="I79" s="45">
        <f t="shared" si="1"/>
        <v>0</v>
      </c>
      <c r="J79" s="125" t="str">
        <f t="shared" si="2"/>
        <v/>
      </c>
      <c r="K79" s="745">
        <v>0</v>
      </c>
    </row>
    <row r="80" spans="1:11" ht="12.75" customHeight="1" x14ac:dyDescent="0.2">
      <c r="A80" s="583" t="s">
        <v>1309</v>
      </c>
      <c r="B80" s="170"/>
      <c r="C80" s="758">
        <v>0</v>
      </c>
      <c r="D80" s="763">
        <v>0</v>
      </c>
      <c r="E80" s="743"/>
      <c r="F80" s="743">
        <v>0</v>
      </c>
      <c r="G80" s="743">
        <v>0</v>
      </c>
      <c r="H80" s="743">
        <f t="shared" si="18"/>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si="18"/>
        <v>0</v>
      </c>
      <c r="I81" s="45">
        <f t="shared" si="1"/>
        <v>0</v>
      </c>
      <c r="J81" s="125" t="str">
        <f t="shared" si="2"/>
        <v/>
      </c>
      <c r="K81" s="745">
        <v>0</v>
      </c>
    </row>
    <row r="82" spans="1:11" ht="12.75" customHeight="1" x14ac:dyDescent="0.2">
      <c r="A82" s="583" t="s">
        <v>1311</v>
      </c>
      <c r="B82" s="170"/>
      <c r="C82" s="758">
        <v>0</v>
      </c>
      <c r="D82" s="763">
        <v>0</v>
      </c>
      <c r="E82" s="743">
        <v>0</v>
      </c>
      <c r="F82" s="743">
        <v>0</v>
      </c>
      <c r="G82" s="743">
        <v>0</v>
      </c>
      <c r="H82" s="743">
        <f t="shared" si="18"/>
        <v>0</v>
      </c>
      <c r="I82" s="45">
        <f t="shared" si="1"/>
        <v>0</v>
      </c>
      <c r="J82" s="125" t="str">
        <f t="shared" si="2"/>
        <v/>
      </c>
      <c r="K82" s="745">
        <v>0</v>
      </c>
    </row>
    <row r="83" spans="1:11" ht="12.75" customHeight="1" x14ac:dyDescent="0.2">
      <c r="A83" s="583" t="s">
        <v>1312</v>
      </c>
      <c r="B83" s="170"/>
      <c r="C83" s="758">
        <v>0</v>
      </c>
      <c r="D83" s="763">
        <v>0</v>
      </c>
      <c r="E83" s="743">
        <v>0</v>
      </c>
      <c r="F83" s="743">
        <v>0</v>
      </c>
      <c r="G83" s="743">
        <v>0</v>
      </c>
      <c r="H83" s="743">
        <f t="shared" si="18"/>
        <v>0</v>
      </c>
      <c r="I83" s="45">
        <f t="shared" si="1"/>
        <v>0</v>
      </c>
      <c r="J83" s="125" t="str">
        <f t="shared" si="2"/>
        <v/>
      </c>
      <c r="K83" s="745">
        <v>0</v>
      </c>
    </row>
    <row r="84" spans="1:11" ht="12.75" customHeight="1" x14ac:dyDescent="0.2">
      <c r="A84" s="583" t="s">
        <v>1313</v>
      </c>
      <c r="B84" s="170"/>
      <c r="C84" s="758">
        <v>0</v>
      </c>
      <c r="D84" s="763">
        <v>0</v>
      </c>
      <c r="E84" s="743">
        <v>0</v>
      </c>
      <c r="F84" s="743">
        <v>0</v>
      </c>
      <c r="G84" s="743">
        <v>0</v>
      </c>
      <c r="H84" s="743">
        <f t="shared" si="18"/>
        <v>0</v>
      </c>
      <c r="I84" s="45">
        <f t="shared" si="1"/>
        <v>0</v>
      </c>
      <c r="J84" s="125" t="str">
        <f t="shared" si="2"/>
        <v/>
      </c>
      <c r="K84" s="745">
        <v>0</v>
      </c>
    </row>
    <row r="85" spans="1:11" ht="12.75" customHeight="1" x14ac:dyDescent="0.2">
      <c r="A85" s="583" t="s">
        <v>1189</v>
      </c>
      <c r="B85" s="170"/>
      <c r="C85" s="758">
        <v>0</v>
      </c>
      <c r="D85" s="763">
        <v>0</v>
      </c>
      <c r="E85" s="743">
        <v>0</v>
      </c>
      <c r="F85" s="743">
        <v>0</v>
      </c>
      <c r="G85" s="743">
        <v>0</v>
      </c>
      <c r="H85" s="743">
        <f t="shared" si="18"/>
        <v>0</v>
      </c>
      <c r="I85" s="45">
        <f t="shared" si="1"/>
        <v>0</v>
      </c>
      <c r="J85" s="125" t="str">
        <f t="shared" si="2"/>
        <v/>
      </c>
      <c r="K85" s="745">
        <v>0</v>
      </c>
    </row>
    <row r="86" spans="1:11" ht="12.75" customHeight="1" x14ac:dyDescent="0.2">
      <c r="A86" s="583" t="s">
        <v>572</v>
      </c>
      <c r="B86" s="170"/>
      <c r="C86" s="758">
        <v>0</v>
      </c>
      <c r="D86" s="763"/>
      <c r="E86" s="743"/>
      <c r="F86" s="743"/>
      <c r="G86" s="743"/>
      <c r="H86" s="973"/>
      <c r="I86" s="45">
        <f t="shared" si="1"/>
        <v>0</v>
      </c>
      <c r="J86" s="125" t="str">
        <f t="shared" si="2"/>
        <v/>
      </c>
      <c r="K86" s="745"/>
    </row>
    <row r="87" spans="1:11" ht="12.75" customHeight="1" x14ac:dyDescent="0.2">
      <c r="A87" s="583" t="s">
        <v>1314</v>
      </c>
      <c r="B87" s="170"/>
      <c r="C87" s="758">
        <v>0</v>
      </c>
      <c r="D87" s="763">
        <v>0</v>
      </c>
      <c r="E87" s="743">
        <v>0</v>
      </c>
      <c r="F87" s="743">
        <v>0</v>
      </c>
      <c r="G87" s="743">
        <v>0</v>
      </c>
      <c r="H87" s="743">
        <f t="shared" si="18"/>
        <v>0</v>
      </c>
      <c r="I87" s="45">
        <f t="shared" si="1"/>
        <v>0</v>
      </c>
      <c r="J87" s="125" t="str">
        <f t="shared" si="2"/>
        <v/>
      </c>
      <c r="K87" s="745">
        <v>0</v>
      </c>
    </row>
    <row r="88" spans="1:11" ht="12.75" customHeight="1" x14ac:dyDescent="0.2">
      <c r="A88" s="583" t="s">
        <v>173</v>
      </c>
      <c r="B88" s="170"/>
      <c r="C88" s="758">
        <v>0</v>
      </c>
      <c r="D88" s="763">
        <v>0</v>
      </c>
      <c r="E88" s="743">
        <v>0</v>
      </c>
      <c r="F88" s="743">
        <v>0</v>
      </c>
      <c r="G88" s="743">
        <v>0</v>
      </c>
      <c r="H88" s="743">
        <f t="shared" si="18"/>
        <v>0</v>
      </c>
      <c r="I88" s="45">
        <f t="shared" si="1"/>
        <v>0</v>
      </c>
      <c r="J88" s="125" t="str">
        <f t="shared" si="2"/>
        <v/>
      </c>
      <c r="K88" s="745">
        <v>0</v>
      </c>
    </row>
    <row r="89" spans="1:11" ht="12.75" customHeight="1" x14ac:dyDescent="0.2">
      <c r="A89" s="583" t="s">
        <v>1315</v>
      </c>
      <c r="B89" s="170"/>
      <c r="C89" s="758">
        <v>0</v>
      </c>
      <c r="D89" s="763">
        <v>0</v>
      </c>
      <c r="E89" s="743">
        <v>0</v>
      </c>
      <c r="F89" s="743">
        <v>0</v>
      </c>
      <c r="G89" s="743">
        <v>0</v>
      </c>
      <c r="H89" s="743">
        <f t="shared" si="18"/>
        <v>0</v>
      </c>
      <c r="I89" s="45">
        <f t="shared" si="1"/>
        <v>0</v>
      </c>
      <c r="J89" s="125" t="str">
        <f t="shared" si="2"/>
        <v/>
      </c>
      <c r="K89" s="745">
        <v>0</v>
      </c>
    </row>
    <row r="90" spans="1:11" ht="12.75" customHeight="1" x14ac:dyDescent="0.2">
      <c r="A90" s="583" t="s">
        <v>1316</v>
      </c>
      <c r="B90" s="170"/>
      <c r="C90" s="758">
        <v>0</v>
      </c>
      <c r="D90" s="763">
        <v>0</v>
      </c>
      <c r="E90" s="743">
        <v>0</v>
      </c>
      <c r="F90" s="743">
        <v>0</v>
      </c>
      <c r="G90" s="743">
        <v>0</v>
      </c>
      <c r="H90" s="743">
        <f t="shared" si="18"/>
        <v>0</v>
      </c>
      <c r="I90" s="45">
        <f t="shared" si="1"/>
        <v>0</v>
      </c>
      <c r="J90" s="125" t="str">
        <f t="shared" si="2"/>
        <v/>
      </c>
      <c r="K90" s="745">
        <v>0</v>
      </c>
    </row>
    <row r="91" spans="1:11" ht="12.75" customHeight="1" x14ac:dyDescent="0.2">
      <c r="A91" s="583" t="s">
        <v>1317</v>
      </c>
      <c r="B91" s="170"/>
      <c r="C91" s="758">
        <v>0</v>
      </c>
      <c r="D91" s="763">
        <v>0</v>
      </c>
      <c r="E91" s="743">
        <v>0</v>
      </c>
      <c r="F91" s="743">
        <v>0</v>
      </c>
      <c r="G91" s="743">
        <v>0</v>
      </c>
      <c r="H91" s="743">
        <f t="shared" si="18"/>
        <v>0</v>
      </c>
      <c r="I91" s="45">
        <f t="shared" si="1"/>
        <v>0</v>
      </c>
      <c r="J91" s="125" t="str">
        <f t="shared" si="2"/>
        <v/>
      </c>
      <c r="K91" s="745">
        <v>0</v>
      </c>
    </row>
    <row r="92" spans="1:11" ht="12.75" customHeight="1" x14ac:dyDescent="0.2">
      <c r="A92" s="583" t="s">
        <v>1318</v>
      </c>
      <c r="B92" s="170"/>
      <c r="C92" s="758">
        <v>0</v>
      </c>
      <c r="D92" s="763">
        <v>0</v>
      </c>
      <c r="E92" s="743">
        <v>0</v>
      </c>
      <c r="F92" s="743">
        <v>0</v>
      </c>
      <c r="G92" s="743">
        <v>0</v>
      </c>
      <c r="H92" s="743">
        <f t="shared" si="18"/>
        <v>0</v>
      </c>
      <c r="I92" s="45">
        <f t="shared" si="1"/>
        <v>0</v>
      </c>
      <c r="J92" s="125" t="str">
        <f t="shared" si="2"/>
        <v/>
      </c>
      <c r="K92" s="745">
        <v>0</v>
      </c>
    </row>
    <row r="93" spans="1:11" ht="12.75" customHeight="1" x14ac:dyDescent="0.2">
      <c r="A93" s="583" t="s">
        <v>451</v>
      </c>
      <c r="B93" s="170"/>
      <c r="C93" s="758">
        <v>0</v>
      </c>
      <c r="D93" s="763">
        <v>0</v>
      </c>
      <c r="E93" s="743">
        <v>0</v>
      </c>
      <c r="F93" s="743">
        <v>0</v>
      </c>
      <c r="G93" s="743">
        <v>0</v>
      </c>
      <c r="H93" s="743">
        <f t="shared" si="18"/>
        <v>0</v>
      </c>
      <c r="I93" s="45">
        <f t="shared" si="1"/>
        <v>0</v>
      </c>
      <c r="J93" s="125" t="str">
        <f t="shared" si="2"/>
        <v/>
      </c>
      <c r="K93" s="745">
        <v>0</v>
      </c>
    </row>
    <row r="94" spans="1:11" ht="12.75" customHeight="1" x14ac:dyDescent="0.2">
      <c r="A94" s="583" t="s">
        <v>1319</v>
      </c>
      <c r="B94" s="170"/>
      <c r="C94" s="758">
        <v>0</v>
      </c>
      <c r="D94" s="763">
        <v>0</v>
      </c>
      <c r="E94" s="743">
        <v>0</v>
      </c>
      <c r="F94" s="743">
        <v>0</v>
      </c>
      <c r="G94" s="743">
        <v>0</v>
      </c>
      <c r="H94" s="743">
        <f t="shared" si="18"/>
        <v>0</v>
      </c>
      <c r="I94" s="45">
        <f t="shared" si="1"/>
        <v>0</v>
      </c>
      <c r="J94" s="125" t="str">
        <f t="shared" si="2"/>
        <v/>
      </c>
      <c r="K94" s="745">
        <v>0</v>
      </c>
    </row>
    <row r="95" spans="1:11" ht="12.75" customHeight="1" x14ac:dyDescent="0.2">
      <c r="A95" s="583" t="s">
        <v>450</v>
      </c>
      <c r="B95" s="170"/>
      <c r="C95" s="758">
        <v>0</v>
      </c>
      <c r="D95" s="763">
        <v>0</v>
      </c>
      <c r="E95" s="743">
        <v>0</v>
      </c>
      <c r="F95" s="743">
        <v>0</v>
      </c>
      <c r="G95" s="743">
        <v>0</v>
      </c>
      <c r="H95" s="743">
        <f t="shared" si="18"/>
        <v>0</v>
      </c>
      <c r="I95" s="45">
        <f t="shared" si="1"/>
        <v>0</v>
      </c>
      <c r="J95" s="125" t="str">
        <f t="shared" si="2"/>
        <v/>
      </c>
      <c r="K95" s="745">
        <v>0</v>
      </c>
    </row>
    <row r="96" spans="1:11" ht="12.75" customHeight="1" x14ac:dyDescent="0.2">
      <c r="A96" s="583" t="s">
        <v>1320</v>
      </c>
      <c r="B96" s="170"/>
      <c r="C96" s="758">
        <v>0</v>
      </c>
      <c r="D96" s="763">
        <v>0</v>
      </c>
      <c r="E96" s="743">
        <v>0</v>
      </c>
      <c r="F96" s="743">
        <v>0</v>
      </c>
      <c r="G96" s="743">
        <v>0</v>
      </c>
      <c r="H96" s="743">
        <f t="shared" si="18"/>
        <v>0</v>
      </c>
      <c r="I96" s="45">
        <f t="shared" si="1"/>
        <v>0</v>
      </c>
      <c r="J96" s="125" t="str">
        <f t="shared" si="2"/>
        <v/>
      </c>
      <c r="K96" s="745">
        <v>0</v>
      </c>
    </row>
    <row r="97" spans="1:11" ht="12.75" customHeight="1" x14ac:dyDescent="0.2">
      <c r="A97" s="583" t="s">
        <v>1321</v>
      </c>
      <c r="B97" s="170"/>
      <c r="C97" s="758">
        <v>0</v>
      </c>
      <c r="D97" s="763">
        <v>0</v>
      </c>
      <c r="E97" s="743">
        <v>0</v>
      </c>
      <c r="F97" s="743">
        <v>0</v>
      </c>
      <c r="G97" s="743">
        <v>0</v>
      </c>
      <c r="H97" s="743">
        <f t="shared" si="18"/>
        <v>0</v>
      </c>
      <c r="I97" s="45">
        <f t="shared" si="1"/>
        <v>0</v>
      </c>
      <c r="J97" s="125" t="str">
        <f t="shared" si="2"/>
        <v/>
      </c>
      <c r="K97" s="745">
        <v>0</v>
      </c>
    </row>
    <row r="98" spans="1:11" ht="12.75" customHeight="1" x14ac:dyDescent="0.2">
      <c r="A98" s="583" t="s">
        <v>1256</v>
      </c>
      <c r="B98" s="170"/>
      <c r="C98" s="758">
        <v>0</v>
      </c>
      <c r="D98" s="763">
        <v>4818700</v>
      </c>
      <c r="E98" s="743">
        <v>4483708</v>
      </c>
      <c r="F98" s="743"/>
      <c r="G98" s="743">
        <v>500000.00150000001</v>
      </c>
      <c r="H98" s="743">
        <f>E98/12*5</f>
        <v>1868211.6666666665</v>
      </c>
      <c r="I98" s="45">
        <f t="shared" si="1"/>
        <v>1368211.6651666665</v>
      </c>
      <c r="J98" s="125">
        <f t="shared" si="2"/>
        <v>0.73236437261302467</v>
      </c>
      <c r="K98" s="745">
        <v>4483708</v>
      </c>
    </row>
    <row r="99" spans="1:11" ht="12.75" customHeight="1" x14ac:dyDescent="0.2">
      <c r="A99" s="521" t="s">
        <v>1322</v>
      </c>
      <c r="B99" s="170"/>
      <c r="C99" s="657">
        <f t="shared" ref="C99:H99" si="19">SUM(C100:C102)</f>
        <v>0</v>
      </c>
      <c r="D99" s="658">
        <f t="shared" si="19"/>
        <v>1000000.0000000001</v>
      </c>
      <c r="E99" s="411">
        <f t="shared" si="19"/>
        <v>1000000</v>
      </c>
      <c r="F99" s="411">
        <f t="shared" si="19"/>
        <v>0</v>
      </c>
      <c r="G99" s="411">
        <f t="shared" si="19"/>
        <v>0</v>
      </c>
      <c r="H99" s="411">
        <f t="shared" si="19"/>
        <v>416666.66666666663</v>
      </c>
      <c r="I99" s="259">
        <f t="shared" si="1"/>
        <v>416666.66666666663</v>
      </c>
      <c r="J99" s="584">
        <f t="shared" si="2"/>
        <v>1</v>
      </c>
      <c r="K99" s="651">
        <f>SUM(K100:K102)</f>
        <v>1000000.0000000001</v>
      </c>
    </row>
    <row r="100" spans="1:11" ht="12.75" customHeight="1" x14ac:dyDescent="0.2">
      <c r="A100" s="583" t="s">
        <v>1323</v>
      </c>
      <c r="B100" s="170"/>
      <c r="C100" s="758">
        <v>0</v>
      </c>
      <c r="D100" s="763">
        <v>1000000.0000000001</v>
      </c>
      <c r="E100" s="743">
        <v>1000000</v>
      </c>
      <c r="F100" s="743">
        <v>0</v>
      </c>
      <c r="G100" s="743">
        <v>0</v>
      </c>
      <c r="H100" s="743">
        <f>E100/12*5</f>
        <v>416666.66666666663</v>
      </c>
      <c r="I100" s="45">
        <f t="shared" si="1"/>
        <v>416666.66666666663</v>
      </c>
      <c r="J100" s="125">
        <f t="shared" si="2"/>
        <v>1</v>
      </c>
      <c r="K100" s="745">
        <v>1000000.0000000001</v>
      </c>
    </row>
    <row r="101" spans="1:11" ht="12.75" customHeight="1" x14ac:dyDescent="0.2">
      <c r="A101" s="583" t="s">
        <v>1324</v>
      </c>
      <c r="B101" s="170"/>
      <c r="C101" s="758">
        <v>0</v>
      </c>
      <c r="D101" s="763">
        <v>0</v>
      </c>
      <c r="E101" s="743">
        <v>0</v>
      </c>
      <c r="F101" s="743">
        <v>0</v>
      </c>
      <c r="G101" s="743">
        <v>0</v>
      </c>
      <c r="H101" s="743">
        <f>D101/12*7</f>
        <v>0</v>
      </c>
      <c r="I101" s="45">
        <f>H101-G101</f>
        <v>0</v>
      </c>
      <c r="J101" s="125" t="str">
        <f>IF(I101=0,"",I101/H101)</f>
        <v/>
      </c>
      <c r="K101" s="745">
        <v>0</v>
      </c>
    </row>
    <row r="102" spans="1:11" ht="12.75" customHeight="1" x14ac:dyDescent="0.2">
      <c r="A102" s="583" t="s">
        <v>1256</v>
      </c>
      <c r="B102" s="170"/>
      <c r="C102" s="758">
        <v>0</v>
      </c>
      <c r="D102" s="763">
        <v>0</v>
      </c>
      <c r="E102" s="743">
        <v>0</v>
      </c>
      <c r="F102" s="743"/>
      <c r="G102" s="743">
        <v>0</v>
      </c>
      <c r="H102" s="743">
        <f>E102</f>
        <v>0</v>
      </c>
      <c r="I102" s="45">
        <f t="shared" si="1"/>
        <v>0</v>
      </c>
      <c r="J102" s="125" t="str">
        <f t="shared" si="2"/>
        <v/>
      </c>
      <c r="K102" s="745">
        <f>D102</f>
        <v>0</v>
      </c>
    </row>
    <row r="103" spans="1:11" ht="12.75" customHeight="1" x14ac:dyDescent="0.2">
      <c r="A103" s="553" t="s">
        <v>690</v>
      </c>
      <c r="B103" s="170"/>
      <c r="C103" s="250">
        <f t="shared" ref="C103:H103" si="20">SUM(C104:C108)</f>
        <v>0</v>
      </c>
      <c r="D103" s="265">
        <f t="shared" si="20"/>
        <v>335000</v>
      </c>
      <c r="E103" s="100">
        <f t="shared" si="20"/>
        <v>335000</v>
      </c>
      <c r="F103" s="100">
        <f t="shared" si="20"/>
        <v>0</v>
      </c>
      <c r="G103" s="100">
        <f t="shared" si="20"/>
        <v>0</v>
      </c>
      <c r="H103" s="100">
        <f t="shared" si="20"/>
        <v>139583.33333333334</v>
      </c>
      <c r="I103" s="100">
        <f t="shared" si="1"/>
        <v>139583.33333333334</v>
      </c>
      <c r="J103" s="327">
        <f t="shared" si="2"/>
        <v>1</v>
      </c>
      <c r="K103" s="196">
        <f>SUM(K104:K108)</f>
        <v>335000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335000</v>
      </c>
      <c r="E108" s="743">
        <v>335000</v>
      </c>
      <c r="F108" s="743">
        <v>0</v>
      </c>
      <c r="G108" s="743">
        <v>0</v>
      </c>
      <c r="H108" s="743">
        <f>E108/12*5</f>
        <v>139583.33333333334</v>
      </c>
      <c r="I108" s="45">
        <f t="shared" si="1"/>
        <v>139583.33333333334</v>
      </c>
      <c r="J108" s="125">
        <f t="shared" si="2"/>
        <v>1</v>
      </c>
      <c r="K108" s="745">
        <v>335000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1">+C111+C114</f>
        <v>0</v>
      </c>
      <c r="D110" s="586">
        <f t="shared" si="21"/>
        <v>0</v>
      </c>
      <c r="E110" s="587">
        <f t="shared" si="21"/>
        <v>0</v>
      </c>
      <c r="F110" s="587">
        <f t="shared" si="21"/>
        <v>0</v>
      </c>
      <c r="G110" s="587">
        <f t="shared" si="21"/>
        <v>0</v>
      </c>
      <c r="H110" s="587">
        <f t="shared" si="21"/>
        <v>0</v>
      </c>
      <c r="I110" s="100">
        <f t="shared" si="1"/>
        <v>0</v>
      </c>
      <c r="J110" s="327" t="str">
        <f t="shared" si="2"/>
        <v/>
      </c>
      <c r="K110" s="589">
        <f>+K111+K114</f>
        <v>0</v>
      </c>
    </row>
    <row r="111" spans="1:11" ht="12.75" customHeight="1" x14ac:dyDescent="0.2">
      <c r="A111" s="521" t="s">
        <v>1331</v>
      </c>
      <c r="B111" s="170"/>
      <c r="C111" s="657">
        <f t="shared" ref="C111:H111" si="22">SUM(C112:C113)</f>
        <v>0</v>
      </c>
      <c r="D111" s="658">
        <f t="shared" si="22"/>
        <v>0</v>
      </c>
      <c r="E111" s="411">
        <f t="shared" si="22"/>
        <v>0</v>
      </c>
      <c r="F111" s="411">
        <f t="shared" si="22"/>
        <v>0</v>
      </c>
      <c r="G111" s="411">
        <f t="shared" si="22"/>
        <v>0</v>
      </c>
      <c r="H111" s="411">
        <f t="shared" si="22"/>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23">SUM(C115:C116)</f>
        <v>0</v>
      </c>
      <c r="D114" s="658">
        <f t="shared" si="23"/>
        <v>0</v>
      </c>
      <c r="E114" s="411">
        <f t="shared" si="23"/>
        <v>0</v>
      </c>
      <c r="F114" s="411">
        <f t="shared" si="23"/>
        <v>0</v>
      </c>
      <c r="G114" s="411">
        <f t="shared" si="23"/>
        <v>0</v>
      </c>
      <c r="H114" s="411">
        <f t="shared" si="23"/>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4">+C118+C130</f>
        <v>0</v>
      </c>
      <c r="D117" s="586">
        <f t="shared" si="24"/>
        <v>2007500</v>
      </c>
      <c r="E117" s="587">
        <f t="shared" si="24"/>
        <v>2007504</v>
      </c>
      <c r="F117" s="587">
        <f t="shared" si="24"/>
        <v>424242.22200000001</v>
      </c>
      <c r="G117" s="587">
        <f t="shared" si="24"/>
        <v>424242.22200000001</v>
      </c>
      <c r="H117" s="587">
        <f t="shared" si="24"/>
        <v>836460</v>
      </c>
      <c r="I117" s="587">
        <f t="shared" si="1"/>
        <v>412217.77799999999</v>
      </c>
      <c r="J117" s="588">
        <f t="shared" si="2"/>
        <v>0.49281230184348324</v>
      </c>
      <c r="K117" s="589">
        <f>+K118+K130</f>
        <v>2007500</v>
      </c>
    </row>
    <row r="118" spans="1:11" ht="12.75" customHeight="1" x14ac:dyDescent="0.2">
      <c r="A118" s="521" t="s">
        <v>1335</v>
      </c>
      <c r="B118" s="170"/>
      <c r="C118" s="657">
        <f t="shared" ref="C118:H118" si="25">SUM(C119:C129)</f>
        <v>0</v>
      </c>
      <c r="D118" s="658">
        <f t="shared" si="25"/>
        <v>2007500</v>
      </c>
      <c r="E118" s="411">
        <f t="shared" si="25"/>
        <v>2007504</v>
      </c>
      <c r="F118" s="411">
        <f t="shared" si="25"/>
        <v>424242.22200000001</v>
      </c>
      <c r="G118" s="411">
        <f t="shared" si="25"/>
        <v>424242.22200000001</v>
      </c>
      <c r="H118" s="411">
        <f t="shared" si="25"/>
        <v>836460</v>
      </c>
      <c r="I118" s="259">
        <f t="shared" si="1"/>
        <v>412217.77799999999</v>
      </c>
      <c r="J118" s="584">
        <f t="shared" si="2"/>
        <v>0.49281230184348324</v>
      </c>
      <c r="K118" s="651">
        <f>SUM(K119:K129)</f>
        <v>2007500</v>
      </c>
    </row>
    <row r="119" spans="1:11" ht="12.75" customHeight="1" x14ac:dyDescent="0.2">
      <c r="A119" s="583" t="s">
        <v>1336</v>
      </c>
      <c r="B119" s="170"/>
      <c r="C119" s="758">
        <v>0</v>
      </c>
      <c r="D119" s="763">
        <v>2007500</v>
      </c>
      <c r="E119" s="743">
        <v>2007504</v>
      </c>
      <c r="F119" s="743">
        <v>424242.22200000001</v>
      </c>
      <c r="G119" s="743">
        <v>424242.22200000001</v>
      </c>
      <c r="H119" s="743">
        <f>E119/12*5</f>
        <v>836460</v>
      </c>
      <c r="I119" s="45">
        <f t="shared" si="1"/>
        <v>412217.77799999999</v>
      </c>
      <c r="J119" s="125">
        <f t="shared" si="2"/>
        <v>0.49281230184348324</v>
      </c>
      <c r="K119" s="745">
        <v>2007500</v>
      </c>
    </row>
    <row r="120" spans="1:11" ht="12.75" customHeight="1" x14ac:dyDescent="0.2">
      <c r="A120" s="583" t="s">
        <v>1337</v>
      </c>
      <c r="B120" s="170"/>
      <c r="C120" s="758">
        <v>0</v>
      </c>
      <c r="D120" s="763">
        <v>0</v>
      </c>
      <c r="E120" s="743">
        <v>0</v>
      </c>
      <c r="F120" s="743">
        <v>0</v>
      </c>
      <c r="G120" s="743">
        <v>0</v>
      </c>
      <c r="H120" s="743">
        <f t="shared" ref="H120:H129" si="26">D120/12*7</f>
        <v>0</v>
      </c>
      <c r="I120" s="45">
        <f t="shared" si="1"/>
        <v>0</v>
      </c>
      <c r="J120" s="125" t="str">
        <f t="shared" si="2"/>
        <v/>
      </c>
      <c r="K120" s="745">
        <v>0</v>
      </c>
    </row>
    <row r="121" spans="1:11" ht="12.75" customHeight="1" x14ac:dyDescent="0.2">
      <c r="A121" s="583" t="s">
        <v>1338</v>
      </c>
      <c r="B121" s="170"/>
      <c r="C121" s="758">
        <v>0</v>
      </c>
      <c r="D121" s="763">
        <v>0</v>
      </c>
      <c r="E121" s="743">
        <v>0</v>
      </c>
      <c r="F121" s="743">
        <v>0</v>
      </c>
      <c r="G121" s="743">
        <v>0</v>
      </c>
      <c r="H121" s="743">
        <f t="shared" si="26"/>
        <v>0</v>
      </c>
      <c r="I121" s="45">
        <f t="shared" si="1"/>
        <v>0</v>
      </c>
      <c r="J121" s="125" t="str">
        <f t="shared" si="2"/>
        <v/>
      </c>
      <c r="K121" s="745">
        <v>0</v>
      </c>
    </row>
    <row r="122" spans="1:11" ht="12.75" customHeight="1" x14ac:dyDescent="0.2">
      <c r="A122" s="583" t="s">
        <v>1339</v>
      </c>
      <c r="B122" s="170"/>
      <c r="C122" s="758">
        <v>0</v>
      </c>
      <c r="D122" s="763">
        <v>0</v>
      </c>
      <c r="E122" s="743">
        <v>0</v>
      </c>
      <c r="F122" s="743">
        <v>0</v>
      </c>
      <c r="G122" s="743">
        <v>0</v>
      </c>
      <c r="H122" s="743">
        <f t="shared" si="26"/>
        <v>0</v>
      </c>
      <c r="I122" s="45">
        <f t="shared" si="1"/>
        <v>0</v>
      </c>
      <c r="J122" s="125" t="str">
        <f t="shared" si="2"/>
        <v/>
      </c>
      <c r="K122" s="745">
        <v>0</v>
      </c>
    </row>
    <row r="123" spans="1:11" ht="12.75" customHeight="1" x14ac:dyDescent="0.2">
      <c r="A123" s="583" t="s">
        <v>1340</v>
      </c>
      <c r="B123" s="170"/>
      <c r="C123" s="758">
        <v>0</v>
      </c>
      <c r="D123" s="763">
        <v>0</v>
      </c>
      <c r="E123" s="743">
        <v>0</v>
      </c>
      <c r="F123" s="743">
        <v>0</v>
      </c>
      <c r="G123" s="743">
        <v>0</v>
      </c>
      <c r="H123" s="743">
        <f t="shared" si="26"/>
        <v>0</v>
      </c>
      <c r="I123" s="45">
        <f t="shared" si="1"/>
        <v>0</v>
      </c>
      <c r="J123" s="125" t="str">
        <f t="shared" si="2"/>
        <v/>
      </c>
      <c r="K123" s="745">
        <v>0</v>
      </c>
    </row>
    <row r="124" spans="1:11" ht="12.75" customHeight="1" x14ac:dyDescent="0.2">
      <c r="A124" s="583" t="s">
        <v>1341</v>
      </c>
      <c r="B124" s="170"/>
      <c r="C124" s="758">
        <v>0</v>
      </c>
      <c r="D124" s="763">
        <v>0</v>
      </c>
      <c r="E124" s="743">
        <v>0</v>
      </c>
      <c r="F124" s="743">
        <v>0</v>
      </c>
      <c r="G124" s="743">
        <v>0</v>
      </c>
      <c r="H124" s="743">
        <f t="shared" si="26"/>
        <v>0</v>
      </c>
      <c r="I124" s="45">
        <f t="shared" si="1"/>
        <v>0</v>
      </c>
      <c r="J124" s="125" t="str">
        <f t="shared" si="2"/>
        <v/>
      </c>
      <c r="K124" s="745">
        <v>0</v>
      </c>
    </row>
    <row r="125" spans="1:11" ht="12.75" customHeight="1" x14ac:dyDescent="0.2">
      <c r="A125" s="583" t="s">
        <v>1342</v>
      </c>
      <c r="B125" s="170"/>
      <c r="C125" s="758">
        <v>0</v>
      </c>
      <c r="D125" s="763">
        <v>0</v>
      </c>
      <c r="E125" s="743">
        <v>0</v>
      </c>
      <c r="F125" s="743">
        <v>0</v>
      </c>
      <c r="G125" s="743">
        <v>0</v>
      </c>
      <c r="H125" s="743">
        <f t="shared" si="26"/>
        <v>0</v>
      </c>
      <c r="I125" s="45">
        <f t="shared" si="1"/>
        <v>0</v>
      </c>
      <c r="J125" s="125" t="str">
        <f t="shared" si="2"/>
        <v/>
      </c>
      <c r="K125" s="745">
        <v>0</v>
      </c>
    </row>
    <row r="126" spans="1:11" ht="12.75" customHeight="1" x14ac:dyDescent="0.2">
      <c r="A126" s="583" t="s">
        <v>1343</v>
      </c>
      <c r="B126" s="170"/>
      <c r="C126" s="758">
        <v>0</v>
      </c>
      <c r="D126" s="763">
        <v>0</v>
      </c>
      <c r="E126" s="743">
        <v>0</v>
      </c>
      <c r="F126" s="743">
        <v>0</v>
      </c>
      <c r="G126" s="743">
        <v>0</v>
      </c>
      <c r="H126" s="743">
        <f t="shared" si="26"/>
        <v>0</v>
      </c>
      <c r="I126" s="45">
        <f t="shared" si="1"/>
        <v>0</v>
      </c>
      <c r="J126" s="125" t="str">
        <f t="shared" si="2"/>
        <v/>
      </c>
      <c r="K126" s="745">
        <v>0</v>
      </c>
    </row>
    <row r="127" spans="1:11" ht="12.75" customHeight="1" x14ac:dyDescent="0.2">
      <c r="A127" s="583" t="s">
        <v>1344</v>
      </c>
      <c r="B127" s="170"/>
      <c r="C127" s="758">
        <v>0</v>
      </c>
      <c r="D127" s="763">
        <v>0</v>
      </c>
      <c r="E127" s="743">
        <v>0</v>
      </c>
      <c r="F127" s="743">
        <v>0</v>
      </c>
      <c r="G127" s="743">
        <v>0</v>
      </c>
      <c r="H127" s="743">
        <f t="shared" si="26"/>
        <v>0</v>
      </c>
      <c r="I127" s="45">
        <f t="shared" si="1"/>
        <v>0</v>
      </c>
      <c r="J127" s="125" t="str">
        <f t="shared" si="2"/>
        <v/>
      </c>
      <c r="K127" s="745">
        <v>0</v>
      </c>
    </row>
    <row r="128" spans="1:11" ht="12.75" customHeight="1" x14ac:dyDescent="0.2">
      <c r="A128" s="583" t="s">
        <v>1345</v>
      </c>
      <c r="B128" s="170"/>
      <c r="C128" s="758">
        <v>0</v>
      </c>
      <c r="D128" s="763">
        <v>0</v>
      </c>
      <c r="E128" s="743">
        <v>0</v>
      </c>
      <c r="F128" s="743">
        <v>0</v>
      </c>
      <c r="G128" s="743">
        <v>0</v>
      </c>
      <c r="H128" s="743">
        <f t="shared" si="26"/>
        <v>0</v>
      </c>
      <c r="I128" s="45">
        <f t="shared" si="1"/>
        <v>0</v>
      </c>
      <c r="J128" s="125" t="str">
        <f t="shared" si="2"/>
        <v/>
      </c>
      <c r="K128" s="745">
        <v>0</v>
      </c>
    </row>
    <row r="129" spans="1:11" ht="12.75" customHeight="1" x14ac:dyDescent="0.2">
      <c r="A129" s="583" t="s">
        <v>1256</v>
      </c>
      <c r="B129" s="170"/>
      <c r="C129" s="758">
        <v>0</v>
      </c>
      <c r="D129" s="763">
        <v>0</v>
      </c>
      <c r="E129" s="743">
        <v>0</v>
      </c>
      <c r="F129" s="743">
        <v>0</v>
      </c>
      <c r="G129" s="743">
        <v>0</v>
      </c>
      <c r="H129" s="743">
        <f t="shared" si="26"/>
        <v>0</v>
      </c>
      <c r="I129" s="45">
        <f t="shared" si="1"/>
        <v>0</v>
      </c>
      <c r="J129" s="125" t="str">
        <f t="shared" si="2"/>
        <v/>
      </c>
      <c r="K129" s="745">
        <v>0</v>
      </c>
    </row>
    <row r="130" spans="1:11" ht="12.75" customHeight="1" x14ac:dyDescent="0.2">
      <c r="A130" s="521" t="s">
        <v>733</v>
      </c>
      <c r="B130" s="170"/>
      <c r="C130" s="657">
        <f t="shared" ref="C130:H130" si="27">SUM(C131:C133)</f>
        <v>0</v>
      </c>
      <c r="D130" s="658">
        <f t="shared" si="27"/>
        <v>0</v>
      </c>
      <c r="E130" s="411">
        <f t="shared" si="27"/>
        <v>0</v>
      </c>
      <c r="F130" s="411">
        <f t="shared" si="27"/>
        <v>0</v>
      </c>
      <c r="G130" s="411">
        <f t="shared" si="27"/>
        <v>0</v>
      </c>
      <c r="H130" s="411">
        <f t="shared" si="27"/>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28">SUM(C136:C136)</f>
        <v>0</v>
      </c>
      <c r="D135" s="586">
        <f t="shared" si="28"/>
        <v>0</v>
      </c>
      <c r="E135" s="587">
        <f t="shared" si="28"/>
        <v>0</v>
      </c>
      <c r="F135" s="587">
        <f t="shared" si="28"/>
        <v>0</v>
      </c>
      <c r="G135" s="587">
        <f t="shared" si="28"/>
        <v>0</v>
      </c>
      <c r="H135" s="587">
        <f t="shared" si="28"/>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29">IF(I137=0,"",I137/H137)</f>
        <v/>
      </c>
      <c r="K137" s="145"/>
    </row>
    <row r="138" spans="1:11" s="101" customFormat="1" ht="12.75" customHeight="1" x14ac:dyDescent="0.2">
      <c r="A138" s="553" t="s">
        <v>1349</v>
      </c>
      <c r="B138" s="172"/>
      <c r="C138" s="952">
        <f t="shared" ref="C138:H138" si="30">SUM(C139:C140)</f>
        <v>0</v>
      </c>
      <c r="D138" s="953">
        <f t="shared" si="30"/>
        <v>0</v>
      </c>
      <c r="E138" s="954">
        <f t="shared" si="30"/>
        <v>0</v>
      </c>
      <c r="F138" s="954">
        <f t="shared" si="30"/>
        <v>0</v>
      </c>
      <c r="G138" s="954">
        <f t="shared" si="30"/>
        <v>0</v>
      </c>
      <c r="H138" s="954">
        <f t="shared" si="30"/>
        <v>0</v>
      </c>
      <c r="I138" s="954">
        <f t="shared" ref="I138:I146" si="31">H138-G138</f>
        <v>0</v>
      </c>
      <c r="J138" s="327" t="str">
        <f t="shared" si="29"/>
        <v/>
      </c>
      <c r="K138" s="955">
        <f>SUM(K139:K140)</f>
        <v>0</v>
      </c>
    </row>
    <row r="139" spans="1:11" ht="12.75" customHeight="1" x14ac:dyDescent="0.2">
      <c r="A139" s="520" t="s">
        <v>1350</v>
      </c>
      <c r="B139" s="170"/>
      <c r="C139" s="758">
        <v>0</v>
      </c>
      <c r="D139" s="763">
        <v>0</v>
      </c>
      <c r="E139" s="743">
        <v>0</v>
      </c>
      <c r="F139" s="743">
        <v>0</v>
      </c>
      <c r="G139" s="743">
        <v>0</v>
      </c>
      <c r="H139" s="743">
        <v>0</v>
      </c>
      <c r="I139" s="45">
        <f t="shared" si="31"/>
        <v>0</v>
      </c>
      <c r="J139" s="125" t="str">
        <f t="shared" si="29"/>
        <v/>
      </c>
      <c r="K139" s="745">
        <v>0</v>
      </c>
    </row>
    <row r="140" spans="1:11" ht="12.75" customHeight="1" x14ac:dyDescent="0.2">
      <c r="A140" s="520" t="s">
        <v>1351</v>
      </c>
      <c r="B140" s="170"/>
      <c r="C140" s="657">
        <f t="shared" ref="C140:H140" si="32">SUM(C141:C146)</f>
        <v>0</v>
      </c>
      <c r="D140" s="658">
        <f t="shared" si="32"/>
        <v>0</v>
      </c>
      <c r="E140" s="411">
        <f t="shared" si="32"/>
        <v>0</v>
      </c>
      <c r="F140" s="411">
        <f t="shared" si="32"/>
        <v>0</v>
      </c>
      <c r="G140" s="411">
        <f t="shared" si="32"/>
        <v>0</v>
      </c>
      <c r="H140" s="411">
        <f t="shared" si="32"/>
        <v>0</v>
      </c>
      <c r="I140" s="259">
        <f t="shared" si="31"/>
        <v>0</v>
      </c>
      <c r="J140" s="584" t="str">
        <f t="shared" si="29"/>
        <v/>
      </c>
      <c r="K140" s="651">
        <f>SUM(K141:K146)</f>
        <v>0</v>
      </c>
    </row>
    <row r="141" spans="1:11" ht="12.75" customHeight="1" x14ac:dyDescent="0.2">
      <c r="A141" s="583" t="s">
        <v>1352</v>
      </c>
      <c r="B141" s="170"/>
      <c r="C141" s="758">
        <v>0</v>
      </c>
      <c r="D141" s="763">
        <v>0</v>
      </c>
      <c r="E141" s="743">
        <v>0</v>
      </c>
      <c r="F141" s="743">
        <v>0</v>
      </c>
      <c r="G141" s="743">
        <v>0</v>
      </c>
      <c r="H141" s="743">
        <v>0</v>
      </c>
      <c r="I141" s="45">
        <f t="shared" si="31"/>
        <v>0</v>
      </c>
      <c r="J141" s="125" t="str">
        <f t="shared" si="29"/>
        <v/>
      </c>
      <c r="K141" s="745">
        <v>0</v>
      </c>
    </row>
    <row r="142" spans="1:11" ht="12.75" customHeight="1" x14ac:dyDescent="0.2">
      <c r="A142" s="583" t="s">
        <v>1353</v>
      </c>
      <c r="B142" s="170"/>
      <c r="C142" s="758">
        <v>0</v>
      </c>
      <c r="D142" s="763">
        <v>0</v>
      </c>
      <c r="E142" s="743">
        <v>0</v>
      </c>
      <c r="F142" s="743">
        <v>0</v>
      </c>
      <c r="G142" s="743">
        <v>0</v>
      </c>
      <c r="H142" s="743">
        <v>0</v>
      </c>
      <c r="I142" s="45">
        <f t="shared" si="31"/>
        <v>0</v>
      </c>
      <c r="J142" s="125" t="str">
        <f t="shared" si="29"/>
        <v/>
      </c>
      <c r="K142" s="745">
        <v>0</v>
      </c>
    </row>
    <row r="143" spans="1:11" ht="12.75" customHeight="1" x14ac:dyDescent="0.2">
      <c r="A143" s="583" t="s">
        <v>1354</v>
      </c>
      <c r="B143" s="170"/>
      <c r="C143" s="758">
        <v>0</v>
      </c>
      <c r="D143" s="763">
        <v>0</v>
      </c>
      <c r="E143" s="743">
        <v>0</v>
      </c>
      <c r="F143" s="743">
        <v>0</v>
      </c>
      <c r="G143" s="743">
        <v>0</v>
      </c>
      <c r="H143" s="743">
        <v>0</v>
      </c>
      <c r="I143" s="45">
        <f t="shared" si="31"/>
        <v>0</v>
      </c>
      <c r="J143" s="125" t="str">
        <f t="shared" si="29"/>
        <v/>
      </c>
      <c r="K143" s="745">
        <v>0</v>
      </c>
    </row>
    <row r="144" spans="1:11" ht="12.75" customHeight="1" x14ac:dyDescent="0.2">
      <c r="A144" s="583" t="s">
        <v>1355</v>
      </c>
      <c r="B144" s="170"/>
      <c r="C144" s="758">
        <v>0</v>
      </c>
      <c r="D144" s="763">
        <v>0</v>
      </c>
      <c r="E144" s="743">
        <v>0</v>
      </c>
      <c r="F144" s="743">
        <v>0</v>
      </c>
      <c r="G144" s="743">
        <v>0</v>
      </c>
      <c r="H144" s="743">
        <v>0</v>
      </c>
      <c r="I144" s="45">
        <f t="shared" si="31"/>
        <v>0</v>
      </c>
      <c r="J144" s="125" t="str">
        <f t="shared" si="29"/>
        <v/>
      </c>
      <c r="K144" s="745">
        <v>0</v>
      </c>
    </row>
    <row r="145" spans="1:12" ht="12.75" customHeight="1" x14ac:dyDescent="0.2">
      <c r="A145" s="583" t="s">
        <v>1356</v>
      </c>
      <c r="B145" s="170"/>
      <c r="C145" s="758">
        <v>0</v>
      </c>
      <c r="D145" s="763">
        <v>0</v>
      </c>
      <c r="E145" s="743">
        <v>0</v>
      </c>
      <c r="F145" s="743">
        <v>0</v>
      </c>
      <c r="G145" s="743">
        <v>0</v>
      </c>
      <c r="H145" s="743">
        <v>0</v>
      </c>
      <c r="I145" s="45">
        <f t="shared" si="31"/>
        <v>0</v>
      </c>
      <c r="J145" s="125" t="str">
        <f t="shared" si="29"/>
        <v/>
      </c>
      <c r="K145" s="745">
        <v>0</v>
      </c>
    </row>
    <row r="146" spans="1:12" ht="12.75" customHeight="1" x14ac:dyDescent="0.2">
      <c r="A146" s="583" t="s">
        <v>1357</v>
      </c>
      <c r="B146" s="170"/>
      <c r="C146" s="758">
        <v>0</v>
      </c>
      <c r="D146" s="763">
        <v>0</v>
      </c>
      <c r="E146" s="743">
        <v>0</v>
      </c>
      <c r="F146" s="743">
        <v>0</v>
      </c>
      <c r="G146" s="743">
        <v>0</v>
      </c>
      <c r="H146" s="743">
        <v>0</v>
      </c>
      <c r="I146" s="45">
        <f t="shared" si="31"/>
        <v>0</v>
      </c>
      <c r="J146" s="125" t="str">
        <f t="shared" si="29"/>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3">SUM(C149:C149)</f>
        <v>0</v>
      </c>
      <c r="D148" s="586">
        <f t="shared" si="33"/>
        <v>0</v>
      </c>
      <c r="E148" s="587">
        <f t="shared" si="33"/>
        <v>0</v>
      </c>
      <c r="F148" s="587">
        <f t="shared" si="33"/>
        <v>0</v>
      </c>
      <c r="G148" s="587">
        <f t="shared" si="33"/>
        <v>0</v>
      </c>
      <c r="H148" s="587">
        <f t="shared" si="33"/>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4">SUM(C152:C152)</f>
        <v>0</v>
      </c>
      <c r="D151" s="586">
        <f t="shared" si="34"/>
        <v>0</v>
      </c>
      <c r="E151" s="587">
        <f t="shared" si="34"/>
        <v>0</v>
      </c>
      <c r="F151" s="587">
        <f t="shared" si="34"/>
        <v>0</v>
      </c>
      <c r="G151" s="587">
        <f t="shared" si="34"/>
        <v>0</v>
      </c>
      <c r="H151" s="587">
        <f t="shared" si="34"/>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5">SUM(C155:C155)</f>
        <v>0</v>
      </c>
      <c r="D154" s="586">
        <f t="shared" si="35"/>
        <v>0</v>
      </c>
      <c r="E154" s="587">
        <f t="shared" si="35"/>
        <v>0</v>
      </c>
      <c r="F154" s="587">
        <f t="shared" si="35"/>
        <v>0</v>
      </c>
      <c r="G154" s="587">
        <f t="shared" si="35"/>
        <v>0</v>
      </c>
      <c r="H154" s="587">
        <f t="shared" si="35"/>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6">SUM(C158:C158)</f>
        <v>0</v>
      </c>
      <c r="D157" s="586">
        <f t="shared" si="36"/>
        <v>0</v>
      </c>
      <c r="E157" s="587">
        <f t="shared" si="36"/>
        <v>0</v>
      </c>
      <c r="F157" s="587">
        <f t="shared" si="36"/>
        <v>0</v>
      </c>
      <c r="G157" s="587">
        <f t="shared" si="36"/>
        <v>0</v>
      </c>
      <c r="H157" s="587">
        <f t="shared" si="36"/>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37">SUM(C161:C161)</f>
        <v>0</v>
      </c>
      <c r="D160" s="586">
        <f t="shared" si="37"/>
        <v>0</v>
      </c>
      <c r="E160" s="587">
        <f t="shared" si="37"/>
        <v>0</v>
      </c>
      <c r="F160" s="587">
        <f t="shared" si="37"/>
        <v>0</v>
      </c>
      <c r="G160" s="587">
        <f t="shared" si="37"/>
        <v>0</v>
      </c>
      <c r="H160" s="587">
        <f t="shared" si="37"/>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38">SUM(C164:C164)</f>
        <v>0</v>
      </c>
      <c r="D163" s="586">
        <f t="shared" si="38"/>
        <v>0</v>
      </c>
      <c r="E163" s="587">
        <f t="shared" si="38"/>
        <v>0</v>
      </c>
      <c r="F163" s="587">
        <f t="shared" si="38"/>
        <v>0</v>
      </c>
      <c r="G163" s="587">
        <f t="shared" si="38"/>
        <v>0</v>
      </c>
      <c r="H163" s="587">
        <f t="shared" si="38"/>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982">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39">C7+C75+C103+C110+C117+C135+C138+C148+C151+C154+C157+C160+C163</f>
        <v>227090934</v>
      </c>
      <c r="D166" s="272">
        <f t="shared" si="39"/>
        <v>245766992</v>
      </c>
      <c r="E166" s="56">
        <f t="shared" si="39"/>
        <v>245432004</v>
      </c>
      <c r="F166" s="56">
        <f t="shared" si="39"/>
        <v>10701701.728499997</v>
      </c>
      <c r="G166" s="56">
        <f t="shared" si="39"/>
        <v>33400416.885499995</v>
      </c>
      <c r="H166" s="56">
        <f t="shared" si="39"/>
        <v>102263334.99999999</v>
      </c>
      <c r="I166" s="56">
        <f>H166-G166</f>
        <v>68862918.114499986</v>
      </c>
      <c r="J166" s="293">
        <f>IF(I166=0,"",I166/H166)</f>
        <v>0.67338815142787978</v>
      </c>
      <c r="K166" s="236">
        <f>K7+K75+K103+K110+K117+K135+K138+K148+K151+K154+K157+K160+K163</f>
        <v>245432000</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1367</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C166+SC13a!C166+SC13e!C166-'C5-Capex'!C40</f>
        <v>0</v>
      </c>
      <c r="D171" s="136">
        <f>D166+SC13a!D166+SC13e!D166-'C5-Capex'!D40</f>
        <v>0</v>
      </c>
      <c r="E171" s="136">
        <f>E166+SC13a!E166+SC13e!E166-'C5-Capex'!E40</f>
        <v>0</v>
      </c>
      <c r="F171" s="136">
        <f>F166+SC13a!F166+SC13e!F166-'C5-Capex'!F40</f>
        <v>0</v>
      </c>
      <c r="G171" s="136">
        <f>G166+SC13a!G166+SC13e!G166-'C5-Capex'!G40</f>
        <v>1.4998912811279297E-3</v>
      </c>
      <c r="H171" s="136">
        <f>H166+SC13a!H166+SC13e!H166-'C5-Capex'!H40</f>
        <v>0</v>
      </c>
      <c r="I171" s="136"/>
      <c r="J171" s="136"/>
      <c r="K171" s="136">
        <f>K166+SC13a!K166+SC13e!K166-'C5-Capex'!K40</f>
        <v>25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9"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"&amp;S71Sc&amp; " - "&amp;Head57</f>
        <v>LIM354 Polokwane - Supporting Table SC13c Monthly Budget Statement - expenditure on repairs and maintenance by asset class - M05 November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125652529</v>
      </c>
      <c r="D7" s="611">
        <f t="shared" si="0"/>
        <v>412593000</v>
      </c>
      <c r="E7" s="103">
        <f t="shared" si="0"/>
        <v>447593512</v>
      </c>
      <c r="F7" s="103">
        <f t="shared" si="0"/>
        <v>23726362.41</v>
      </c>
      <c r="G7" s="103">
        <f t="shared" si="0"/>
        <v>99705889.789999992</v>
      </c>
      <c r="H7" s="103">
        <f t="shared" si="0"/>
        <v>186497296.66666669</v>
      </c>
      <c r="I7" s="102">
        <f t="shared" ref="I7:I166" si="1">H7-G7</f>
        <v>86791406.876666695</v>
      </c>
      <c r="J7" s="588">
        <f t="shared" ref="J7:J166" si="2">IF(I7=0,"",I7/H7)</f>
        <v>0.46537621953733782</v>
      </c>
      <c r="K7" s="612">
        <f>K8+K13+K17+K27+K38+K45+K53+K63+K69</f>
        <v>447593104</v>
      </c>
    </row>
    <row r="8" spans="1:11" ht="12.75" customHeight="1" x14ac:dyDescent="0.2">
      <c r="A8" s="521" t="s">
        <v>1253</v>
      </c>
      <c r="B8" s="170"/>
      <c r="C8" s="686">
        <f t="shared" ref="C8:H8" si="3">SUM(C9:C12)</f>
        <v>70175315</v>
      </c>
      <c r="D8" s="618">
        <f t="shared" si="3"/>
        <v>80507600</v>
      </c>
      <c r="E8" s="617">
        <f t="shared" si="3"/>
        <v>80507680</v>
      </c>
      <c r="F8" s="617">
        <f t="shared" si="3"/>
        <v>1900649.1900000002</v>
      </c>
      <c r="G8" s="617">
        <f t="shared" si="3"/>
        <v>14441880.229999999</v>
      </c>
      <c r="H8" s="617">
        <f t="shared" si="3"/>
        <v>33544866.666666664</v>
      </c>
      <c r="I8" s="259">
        <f t="shared" si="1"/>
        <v>19102986.436666667</v>
      </c>
      <c r="J8" s="584">
        <f t="shared" si="2"/>
        <v>0.56947570030585903</v>
      </c>
      <c r="K8" s="619">
        <f>SUM(K9:K12)</f>
        <v>80507680</v>
      </c>
    </row>
    <row r="9" spans="1:11" ht="12.75" customHeight="1" x14ac:dyDescent="0.2">
      <c r="A9" s="583" t="s">
        <v>175</v>
      </c>
      <c r="B9" s="170"/>
      <c r="C9" s="758">
        <v>67615315</v>
      </c>
      <c r="D9" s="755">
        <v>27006486</v>
      </c>
      <c r="E9" s="743">
        <v>9369588</v>
      </c>
      <c r="F9" s="743">
        <v>108938.03</v>
      </c>
      <c r="G9" s="743">
        <v>413341.62</v>
      </c>
      <c r="H9" s="755">
        <f>E9/12*5</f>
        <v>3903995</v>
      </c>
      <c r="I9" s="259">
        <f t="shared" si="1"/>
        <v>3490653.38</v>
      </c>
      <c r="J9" s="584">
        <f t="shared" si="2"/>
        <v>0.89412342485069773</v>
      </c>
      <c r="K9" s="745">
        <v>9369588</v>
      </c>
    </row>
    <row r="10" spans="1:11" ht="12.75" customHeight="1" x14ac:dyDescent="0.2">
      <c r="A10" s="583" t="s">
        <v>1254</v>
      </c>
      <c r="B10" s="170"/>
      <c r="C10" s="758"/>
      <c r="D10" s="755">
        <v>35754100</v>
      </c>
      <c r="E10" s="743">
        <v>0</v>
      </c>
      <c r="F10" s="743">
        <v>0</v>
      </c>
      <c r="G10" s="743">
        <v>0</v>
      </c>
      <c r="H10" s="755">
        <f t="shared" ref="H10:H12" si="4">E10/12*5</f>
        <v>0</v>
      </c>
      <c r="I10" s="259">
        <f t="shared" si="1"/>
        <v>0</v>
      </c>
      <c r="J10" s="584" t="str">
        <f t="shared" si="2"/>
        <v/>
      </c>
      <c r="K10" s="745">
        <v>0</v>
      </c>
    </row>
    <row r="11" spans="1:11" ht="12.75" customHeight="1" x14ac:dyDescent="0.2">
      <c r="A11" s="583" t="s">
        <v>1255</v>
      </c>
      <c r="B11" s="170"/>
      <c r="C11" s="758"/>
      <c r="D11" s="755">
        <v>17747014</v>
      </c>
      <c r="E11" s="743">
        <v>1164000</v>
      </c>
      <c r="F11" s="743">
        <v>0</v>
      </c>
      <c r="G11" s="743">
        <v>0</v>
      </c>
      <c r="H11" s="755">
        <f t="shared" si="4"/>
        <v>485000</v>
      </c>
      <c r="I11" s="259">
        <f t="shared" si="1"/>
        <v>485000</v>
      </c>
      <c r="J11" s="584">
        <f t="shared" si="2"/>
        <v>1</v>
      </c>
      <c r="K11" s="745">
        <v>1164000</v>
      </c>
    </row>
    <row r="12" spans="1:11" ht="12.75" customHeight="1" x14ac:dyDescent="0.2">
      <c r="A12" s="583" t="s">
        <v>1256</v>
      </c>
      <c r="B12" s="170"/>
      <c r="C12" s="758">
        <v>2560000</v>
      </c>
      <c r="D12" s="755">
        <v>0</v>
      </c>
      <c r="E12" s="743">
        <v>69974092</v>
      </c>
      <c r="F12" s="743">
        <v>1791711.1600000001</v>
      </c>
      <c r="G12" s="743">
        <v>14028538.609999999</v>
      </c>
      <c r="H12" s="743">
        <f t="shared" si="4"/>
        <v>29155871.666666664</v>
      </c>
      <c r="I12" s="259">
        <f t="shared" si="1"/>
        <v>15127333.056666665</v>
      </c>
      <c r="J12" s="584">
        <f t="shared" si="2"/>
        <v>0.51884345045877833</v>
      </c>
      <c r="K12" s="745">
        <v>69974092</v>
      </c>
    </row>
    <row r="13" spans="1:11" ht="12.75" customHeight="1" x14ac:dyDescent="0.2">
      <c r="A13" s="521" t="s">
        <v>1257</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E14</f>
        <v>0</v>
      </c>
      <c r="I14" s="259">
        <f t="shared" si="1"/>
        <v>0</v>
      </c>
      <c r="J14" s="584" t="str">
        <f t="shared" si="2"/>
        <v/>
      </c>
      <c r="K14" s="745">
        <f>E14</f>
        <v>0</v>
      </c>
    </row>
    <row r="15" spans="1:11" ht="12.75" customHeight="1" x14ac:dyDescent="0.2">
      <c r="A15" s="583" t="s">
        <v>1259</v>
      </c>
      <c r="B15" s="170"/>
      <c r="C15" s="758"/>
      <c r="D15" s="755">
        <v>0</v>
      </c>
      <c r="E15" s="743">
        <v>0</v>
      </c>
      <c r="F15" s="743">
        <v>0</v>
      </c>
      <c r="G15" s="743">
        <v>0</v>
      </c>
      <c r="H15" s="743">
        <f>D15/12*7</f>
        <v>0</v>
      </c>
      <c r="I15" s="259">
        <f t="shared" si="1"/>
        <v>0</v>
      </c>
      <c r="J15" s="584" t="str">
        <f t="shared" si="2"/>
        <v/>
      </c>
      <c r="K15" s="745">
        <f>D15</f>
        <v>0</v>
      </c>
    </row>
    <row r="16" spans="1:11" ht="12.75" customHeight="1" x14ac:dyDescent="0.2">
      <c r="A16" s="583" t="s">
        <v>1260</v>
      </c>
      <c r="B16" s="170"/>
      <c r="C16" s="758"/>
      <c r="D16" s="755">
        <v>0</v>
      </c>
      <c r="E16" s="743">
        <v>0</v>
      </c>
      <c r="F16" s="743">
        <v>0</v>
      </c>
      <c r="G16" s="743">
        <v>0</v>
      </c>
      <c r="H16" s="743">
        <f>D16/12*7</f>
        <v>0</v>
      </c>
      <c r="I16" s="259">
        <f t="shared" si="1"/>
        <v>0</v>
      </c>
      <c r="J16" s="584" t="str">
        <f t="shared" si="2"/>
        <v/>
      </c>
      <c r="K16" s="745">
        <f>D16</f>
        <v>0</v>
      </c>
    </row>
    <row r="17" spans="1:11" ht="12.75" customHeight="1" x14ac:dyDescent="0.2">
      <c r="A17" s="521" t="s">
        <v>1261</v>
      </c>
      <c r="B17" s="170"/>
      <c r="C17" s="657">
        <f t="shared" ref="C17:H17" si="6">SUM(C18:C26)</f>
        <v>49287214</v>
      </c>
      <c r="D17" s="658">
        <f t="shared" si="6"/>
        <v>134519200</v>
      </c>
      <c r="E17" s="411">
        <f t="shared" si="6"/>
        <v>134519608</v>
      </c>
      <c r="F17" s="411">
        <f t="shared" si="6"/>
        <v>6587352.6900000004</v>
      </c>
      <c r="G17" s="411">
        <f t="shared" si="6"/>
        <v>21982343.510000002</v>
      </c>
      <c r="H17" s="411">
        <f t="shared" si="6"/>
        <v>56049836.666666672</v>
      </c>
      <c r="I17" s="259">
        <f t="shared" si="1"/>
        <v>34067493.156666666</v>
      </c>
      <c r="J17" s="584">
        <f t="shared" si="2"/>
        <v>0.60780717987224575</v>
      </c>
      <c r="K17" s="651">
        <f>SUM(K18:K26)</f>
        <v>134519200</v>
      </c>
    </row>
    <row r="18" spans="1:11" ht="12.75" customHeight="1" x14ac:dyDescent="0.2">
      <c r="A18" s="583" t="s">
        <v>1262</v>
      </c>
      <c r="B18" s="170"/>
      <c r="C18" s="758"/>
      <c r="D18" s="755">
        <v>0</v>
      </c>
      <c r="E18" s="743">
        <v>0</v>
      </c>
      <c r="F18" s="743">
        <v>0</v>
      </c>
      <c r="G18" s="743">
        <v>0</v>
      </c>
      <c r="H18" s="743">
        <f t="shared" ref="H18:H26" si="7">E18/12*5</f>
        <v>0</v>
      </c>
      <c r="I18" s="259">
        <f>H18-G18</f>
        <v>0</v>
      </c>
      <c r="J18" s="584" t="str">
        <f>IF(I18=0,"",I18/H18)</f>
        <v/>
      </c>
      <c r="K18" s="745">
        <f>D18</f>
        <v>0</v>
      </c>
    </row>
    <row r="19" spans="1:11" ht="12.75" customHeight="1" x14ac:dyDescent="0.2">
      <c r="A19" s="583" t="s">
        <v>1263</v>
      </c>
      <c r="B19" s="170"/>
      <c r="C19" s="758"/>
      <c r="D19" s="755">
        <v>0</v>
      </c>
      <c r="E19" s="743">
        <v>0</v>
      </c>
      <c r="F19" s="743">
        <v>0</v>
      </c>
      <c r="G19" s="743">
        <v>0</v>
      </c>
      <c r="H19" s="743">
        <f t="shared" si="7"/>
        <v>0</v>
      </c>
      <c r="I19" s="259">
        <f t="shared" si="1"/>
        <v>0</v>
      </c>
      <c r="J19" s="584" t="str">
        <f t="shared" si="2"/>
        <v/>
      </c>
      <c r="K19" s="745">
        <f t="shared" ref="K19:K25" si="8">D19</f>
        <v>0</v>
      </c>
    </row>
    <row r="20" spans="1:11" ht="12.75" customHeight="1" x14ac:dyDescent="0.2">
      <c r="A20" s="583" t="s">
        <v>1264</v>
      </c>
      <c r="B20" s="170"/>
      <c r="C20" s="758"/>
      <c r="D20" s="755">
        <v>0</v>
      </c>
      <c r="E20" s="743">
        <v>0</v>
      </c>
      <c r="F20" s="743">
        <v>0</v>
      </c>
      <c r="G20" s="743">
        <v>0</v>
      </c>
      <c r="H20" s="743">
        <f t="shared" si="7"/>
        <v>0</v>
      </c>
      <c r="I20" s="259">
        <f t="shared" si="1"/>
        <v>0</v>
      </c>
      <c r="J20" s="584" t="str">
        <f t="shared" si="2"/>
        <v/>
      </c>
      <c r="K20" s="745">
        <f t="shared" si="8"/>
        <v>0</v>
      </c>
    </row>
    <row r="21" spans="1:11" ht="12.75" customHeight="1" x14ac:dyDescent="0.2">
      <c r="A21" s="583" t="s">
        <v>1265</v>
      </c>
      <c r="B21" s="170"/>
      <c r="C21" s="758"/>
      <c r="D21" s="755">
        <v>134519200</v>
      </c>
      <c r="E21" s="743">
        <v>134519608</v>
      </c>
      <c r="F21" s="743">
        <v>6587352.6900000004</v>
      </c>
      <c r="G21" s="743">
        <v>21982343.510000002</v>
      </c>
      <c r="H21" s="743">
        <f t="shared" si="7"/>
        <v>56049836.666666672</v>
      </c>
      <c r="I21" s="259">
        <f t="shared" si="1"/>
        <v>34067493.156666666</v>
      </c>
      <c r="J21" s="584">
        <f t="shared" si="2"/>
        <v>0.60780717987224575</v>
      </c>
      <c r="K21" s="745">
        <f t="shared" si="8"/>
        <v>134519200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H24-G24</f>
        <v>0</v>
      </c>
      <c r="J24" s="584" t="str">
        <f>IF(I24=0,"",I24/H24)</f>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v>49287214</v>
      </c>
      <c r="D26" s="755">
        <v>0</v>
      </c>
      <c r="E26" s="743">
        <v>0</v>
      </c>
      <c r="F26" s="743">
        <v>0</v>
      </c>
      <c r="G26" s="743">
        <v>0</v>
      </c>
      <c r="H26" s="743">
        <f t="shared" si="7"/>
        <v>0</v>
      </c>
      <c r="I26" s="259">
        <f t="shared" si="1"/>
        <v>0</v>
      </c>
      <c r="J26" s="584" t="str">
        <f t="shared" si="2"/>
        <v/>
      </c>
      <c r="K26" s="745">
        <f>E26</f>
        <v>0</v>
      </c>
    </row>
    <row r="27" spans="1:11" ht="12.75" customHeight="1" x14ac:dyDescent="0.2">
      <c r="A27" s="520" t="s">
        <v>1270</v>
      </c>
      <c r="B27" s="170"/>
      <c r="C27" s="657">
        <f t="shared" ref="C27:H27" si="9">SUM(C28:C37)</f>
        <v>3581110</v>
      </c>
      <c r="D27" s="658">
        <f t="shared" si="9"/>
        <v>103964200</v>
      </c>
      <c r="E27" s="411">
        <f t="shared" si="9"/>
        <v>138964232</v>
      </c>
      <c r="F27" s="411">
        <f t="shared" si="9"/>
        <v>7665484.9100000001</v>
      </c>
      <c r="G27" s="411">
        <f t="shared" si="9"/>
        <v>35839421.980000004</v>
      </c>
      <c r="H27" s="411">
        <f t="shared" si="9"/>
        <v>57901763.333333328</v>
      </c>
      <c r="I27" s="259">
        <f t="shared" si="1"/>
        <v>22062341.353333324</v>
      </c>
      <c r="J27" s="584">
        <f t="shared" si="2"/>
        <v>0.38103056078487868</v>
      </c>
      <c r="K27" s="651">
        <f>SUM(K28:K37)</f>
        <v>138964232</v>
      </c>
    </row>
    <row r="28" spans="1:11" ht="12.75" customHeight="1" x14ac:dyDescent="0.2">
      <c r="A28" s="583" t="s">
        <v>1271</v>
      </c>
      <c r="B28" s="170"/>
      <c r="C28" s="758"/>
      <c r="D28" s="755">
        <v>0</v>
      </c>
      <c r="E28" s="743">
        <v>0</v>
      </c>
      <c r="F28" s="743">
        <v>0</v>
      </c>
      <c r="G28" s="743">
        <v>0</v>
      </c>
      <c r="H28" s="743">
        <f t="shared" ref="H28:H37" si="10">E28/12*5</f>
        <v>0</v>
      </c>
      <c r="I28" s="259">
        <f t="shared" si="1"/>
        <v>0</v>
      </c>
      <c r="J28" s="584" t="str">
        <f t="shared" si="2"/>
        <v/>
      </c>
      <c r="K28" s="745"/>
    </row>
    <row r="29" spans="1:11" ht="12.75" customHeight="1" x14ac:dyDescent="0.2">
      <c r="A29" s="583" t="s">
        <v>1272</v>
      </c>
      <c r="B29" s="170"/>
      <c r="C29" s="758"/>
      <c r="D29" s="755">
        <v>0</v>
      </c>
      <c r="E29" s="743">
        <v>0</v>
      </c>
      <c r="F29" s="743">
        <v>0</v>
      </c>
      <c r="G29" s="743">
        <v>0</v>
      </c>
      <c r="H29" s="743">
        <f t="shared" si="10"/>
        <v>0</v>
      </c>
      <c r="I29" s="259">
        <f t="shared" si="1"/>
        <v>0</v>
      </c>
      <c r="J29" s="584" t="str">
        <f t="shared" si="2"/>
        <v/>
      </c>
      <c r="K29" s="745"/>
    </row>
    <row r="30" spans="1:11" ht="12.75" customHeight="1" x14ac:dyDescent="0.2">
      <c r="A30" s="583" t="s">
        <v>1273</v>
      </c>
      <c r="B30" s="170"/>
      <c r="C30" s="758"/>
      <c r="D30" s="755">
        <v>536543</v>
      </c>
      <c r="E30" s="743">
        <v>138964232</v>
      </c>
      <c r="F30" s="743">
        <v>7665484.9100000001</v>
      </c>
      <c r="G30" s="743">
        <v>35839421.980000004</v>
      </c>
      <c r="H30" s="755">
        <f t="shared" si="10"/>
        <v>57901763.333333328</v>
      </c>
      <c r="I30" s="259">
        <f t="shared" si="1"/>
        <v>22062341.353333324</v>
      </c>
      <c r="J30" s="584">
        <f t="shared" si="2"/>
        <v>0.38103056078487868</v>
      </c>
      <c r="K30" s="745">
        <f t="shared" ref="K30:K37" si="11">E30</f>
        <v>138964232</v>
      </c>
    </row>
    <row r="31" spans="1:11" ht="12.75" customHeight="1" x14ac:dyDescent="0.2">
      <c r="A31" s="583" t="s">
        <v>1274</v>
      </c>
      <c r="B31" s="170"/>
      <c r="C31" s="758"/>
      <c r="D31" s="755">
        <v>0</v>
      </c>
      <c r="E31" s="743">
        <v>0</v>
      </c>
      <c r="F31" s="743">
        <v>0</v>
      </c>
      <c r="G31" s="743">
        <v>0</v>
      </c>
      <c r="H31" s="743">
        <f t="shared" si="10"/>
        <v>0</v>
      </c>
      <c r="I31" s="259">
        <f t="shared" si="1"/>
        <v>0</v>
      </c>
      <c r="J31" s="584" t="str">
        <f t="shared" si="2"/>
        <v/>
      </c>
      <c r="K31" s="745">
        <f t="shared" si="11"/>
        <v>0</v>
      </c>
    </row>
    <row r="32" spans="1:11" ht="12.75" customHeight="1" x14ac:dyDescent="0.2">
      <c r="A32" s="583" t="s">
        <v>1275</v>
      </c>
      <c r="B32" s="170"/>
      <c r="C32" s="758"/>
      <c r="D32" s="755">
        <v>0</v>
      </c>
      <c r="E32" s="743">
        <v>0</v>
      </c>
      <c r="F32" s="743">
        <v>0</v>
      </c>
      <c r="G32" s="743">
        <v>0</v>
      </c>
      <c r="H32" s="743">
        <f t="shared" si="10"/>
        <v>0</v>
      </c>
      <c r="I32" s="259">
        <f t="shared" si="1"/>
        <v>0</v>
      </c>
      <c r="J32" s="584" t="str">
        <f t="shared" si="2"/>
        <v/>
      </c>
      <c r="K32" s="745">
        <f t="shared" si="11"/>
        <v>0</v>
      </c>
    </row>
    <row r="33" spans="1:11" ht="12.75" customHeight="1" x14ac:dyDescent="0.2">
      <c r="A33" s="583" t="s">
        <v>1276</v>
      </c>
      <c r="B33" s="170"/>
      <c r="C33" s="758"/>
      <c r="D33" s="755">
        <v>0</v>
      </c>
      <c r="E33" s="743">
        <v>0</v>
      </c>
      <c r="F33" s="743">
        <v>0</v>
      </c>
      <c r="G33" s="743">
        <v>0</v>
      </c>
      <c r="H33" s="743">
        <f t="shared" si="10"/>
        <v>0</v>
      </c>
      <c r="I33" s="259">
        <f t="shared" si="1"/>
        <v>0</v>
      </c>
      <c r="J33" s="584" t="str">
        <f t="shared" si="2"/>
        <v/>
      </c>
      <c r="K33" s="745">
        <f t="shared" si="11"/>
        <v>0</v>
      </c>
    </row>
    <row r="34" spans="1:11" ht="12.75" customHeight="1" x14ac:dyDescent="0.2">
      <c r="A34" s="583" t="s">
        <v>1277</v>
      </c>
      <c r="B34" s="170"/>
      <c r="C34" s="758">
        <v>3581110</v>
      </c>
      <c r="D34" s="755">
        <v>76817694</v>
      </c>
      <c r="E34" s="743">
        <v>0</v>
      </c>
      <c r="F34" s="743">
        <v>0</v>
      </c>
      <c r="G34" s="743">
        <v>0</v>
      </c>
      <c r="H34" s="755">
        <f t="shared" si="10"/>
        <v>0</v>
      </c>
      <c r="I34" s="259">
        <f t="shared" si="1"/>
        <v>0</v>
      </c>
      <c r="J34" s="584" t="str">
        <f t="shared" si="2"/>
        <v/>
      </c>
      <c r="K34" s="745">
        <f t="shared" si="11"/>
        <v>0</v>
      </c>
    </row>
    <row r="35" spans="1:11" ht="12.75" customHeight="1" x14ac:dyDescent="0.2">
      <c r="A35" s="583" t="s">
        <v>1278</v>
      </c>
      <c r="B35" s="170"/>
      <c r="C35" s="758"/>
      <c r="D35" s="755">
        <v>26609963</v>
      </c>
      <c r="E35" s="743">
        <v>0</v>
      </c>
      <c r="F35" s="743">
        <v>0</v>
      </c>
      <c r="G35" s="743">
        <v>0</v>
      </c>
      <c r="H35" s="743">
        <f t="shared" si="10"/>
        <v>0</v>
      </c>
      <c r="I35" s="259">
        <f t="shared" si="1"/>
        <v>0</v>
      </c>
      <c r="J35" s="584" t="str">
        <f t="shared" si="2"/>
        <v/>
      </c>
      <c r="K35" s="745">
        <f t="shared" si="11"/>
        <v>0</v>
      </c>
    </row>
    <row r="36" spans="1:11" ht="12.75" customHeight="1" x14ac:dyDescent="0.2">
      <c r="A36" s="583" t="s">
        <v>1279</v>
      </c>
      <c r="B36" s="170"/>
      <c r="C36" s="758"/>
      <c r="D36" s="755">
        <v>0</v>
      </c>
      <c r="E36" s="743">
        <v>0</v>
      </c>
      <c r="F36" s="743">
        <v>0</v>
      </c>
      <c r="G36" s="743">
        <v>0</v>
      </c>
      <c r="H36" s="743">
        <f t="shared" si="10"/>
        <v>0</v>
      </c>
      <c r="I36" s="259">
        <f t="shared" si="1"/>
        <v>0</v>
      </c>
      <c r="J36" s="584" t="str">
        <f t="shared" si="2"/>
        <v/>
      </c>
      <c r="K36" s="745">
        <f t="shared" si="11"/>
        <v>0</v>
      </c>
    </row>
    <row r="37" spans="1:11" ht="12.75" customHeight="1" x14ac:dyDescent="0.2">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
      <c r="A38" s="520" t="s">
        <v>1280</v>
      </c>
      <c r="B38" s="170"/>
      <c r="C38" s="657">
        <f t="shared" ref="C38:H38" si="12">SUM(C39:C44)</f>
        <v>1591163</v>
      </c>
      <c r="D38" s="658">
        <f t="shared" si="12"/>
        <v>15647000</v>
      </c>
      <c r="E38" s="411">
        <f t="shared" si="12"/>
        <v>15646992</v>
      </c>
      <c r="F38" s="411">
        <f t="shared" si="12"/>
        <v>185348.77</v>
      </c>
      <c r="G38" s="411">
        <f t="shared" si="12"/>
        <v>914008.02</v>
      </c>
      <c r="H38" s="411">
        <f t="shared" si="12"/>
        <v>6519580</v>
      </c>
      <c r="I38" s="259">
        <f t="shared" si="1"/>
        <v>5605571.9800000004</v>
      </c>
      <c r="J38" s="584">
        <f t="shared" si="2"/>
        <v>0.85980568993708195</v>
      </c>
      <c r="K38" s="651">
        <f>SUM(K39:K44)</f>
        <v>15646992</v>
      </c>
    </row>
    <row r="39" spans="1:11" ht="12.75" customHeight="1" x14ac:dyDescent="0.2">
      <c r="A39" s="583" t="s">
        <v>1281</v>
      </c>
      <c r="B39" s="170"/>
      <c r="C39" s="758"/>
      <c r="D39" s="755">
        <v>0</v>
      </c>
      <c r="E39" s="743">
        <v>0</v>
      </c>
      <c r="F39" s="743">
        <v>0</v>
      </c>
      <c r="G39" s="743">
        <v>0</v>
      </c>
      <c r="H39" s="743">
        <f t="shared" ref="H39:H44" si="13">E39/12*5</f>
        <v>0</v>
      </c>
      <c r="I39" s="259">
        <f t="shared" si="1"/>
        <v>0</v>
      </c>
      <c r="J39" s="584" t="str">
        <f t="shared" si="2"/>
        <v/>
      </c>
      <c r="K39" s="745">
        <f>E39</f>
        <v>0</v>
      </c>
    </row>
    <row r="40" spans="1:11" ht="12.75" customHeight="1" x14ac:dyDescent="0.2">
      <c r="A40" s="583" t="s">
        <v>141</v>
      </c>
      <c r="B40" s="170"/>
      <c r="C40" s="758">
        <v>1591163</v>
      </c>
      <c r="D40" s="755">
        <v>15647000</v>
      </c>
      <c r="E40" s="743">
        <v>15646992</v>
      </c>
      <c r="F40" s="743">
        <v>185348.77</v>
      </c>
      <c r="G40" s="743">
        <v>914008.02</v>
      </c>
      <c r="H40" s="755">
        <f t="shared" si="13"/>
        <v>6519580</v>
      </c>
      <c r="I40" s="259">
        <f t="shared" si="1"/>
        <v>5605571.9800000004</v>
      </c>
      <c r="J40" s="584">
        <f t="shared" si="2"/>
        <v>0.85980568993708195</v>
      </c>
      <c r="K40" s="745">
        <f>E40</f>
        <v>15646992</v>
      </c>
    </row>
    <row r="41" spans="1:11" ht="12.75" customHeight="1" x14ac:dyDescent="0.2">
      <c r="A41" s="583" t="s">
        <v>1282</v>
      </c>
      <c r="B41" s="170"/>
      <c r="C41" s="758"/>
      <c r="D41" s="755">
        <v>0</v>
      </c>
      <c r="E41" s="743">
        <v>0</v>
      </c>
      <c r="F41" s="743">
        <v>0</v>
      </c>
      <c r="G41" s="743">
        <v>0</v>
      </c>
      <c r="H41" s="743">
        <f t="shared" si="13"/>
        <v>0</v>
      </c>
      <c r="I41" s="259">
        <f t="shared" si="1"/>
        <v>0</v>
      </c>
      <c r="J41" s="584" t="str">
        <f t="shared" si="2"/>
        <v/>
      </c>
      <c r="K41" s="745">
        <f>E41</f>
        <v>0</v>
      </c>
    </row>
    <row r="42" spans="1:11" ht="12.75" customHeight="1" x14ac:dyDescent="0.2">
      <c r="A42" s="583" t="s">
        <v>1283</v>
      </c>
      <c r="B42" s="170"/>
      <c r="C42" s="758"/>
      <c r="D42" s="755" t="s">
        <v>1363</v>
      </c>
      <c r="E42" s="743">
        <v>0</v>
      </c>
      <c r="F42" s="743">
        <v>0</v>
      </c>
      <c r="G42" s="743">
        <v>0</v>
      </c>
      <c r="H42" s="743">
        <f t="shared" si="13"/>
        <v>0</v>
      </c>
      <c r="I42" s="259">
        <f t="shared" si="1"/>
        <v>0</v>
      </c>
      <c r="J42" s="584" t="str">
        <f t="shared" si="2"/>
        <v/>
      </c>
      <c r="K42" s="745" t="str">
        <f t="shared" ref="K42:K44" si="14">D42</f>
        <v>.</v>
      </c>
    </row>
    <row r="43" spans="1:11" ht="12.75" customHeight="1" x14ac:dyDescent="0.2">
      <c r="A43" s="583" t="s">
        <v>1284</v>
      </c>
      <c r="B43" s="170"/>
      <c r="C43" s="758"/>
      <c r="D43" s="755">
        <v>0</v>
      </c>
      <c r="E43" s="743">
        <v>0</v>
      </c>
      <c r="F43" s="743">
        <v>0</v>
      </c>
      <c r="G43" s="743">
        <v>0</v>
      </c>
      <c r="H43" s="743">
        <f t="shared" si="13"/>
        <v>0</v>
      </c>
      <c r="I43" s="259">
        <f t="shared" si="1"/>
        <v>0</v>
      </c>
      <c r="J43" s="584" t="str">
        <f t="shared" si="2"/>
        <v/>
      </c>
      <c r="K43" s="745">
        <f t="shared" si="14"/>
        <v>0</v>
      </c>
    </row>
    <row r="44" spans="1:11" ht="12.75" customHeight="1" x14ac:dyDescent="0.2">
      <c r="A44" s="583" t="s">
        <v>1256</v>
      </c>
      <c r="B44" s="170"/>
      <c r="C44" s="758"/>
      <c r="D44" s="755">
        <v>0</v>
      </c>
      <c r="E44" s="743">
        <v>0</v>
      </c>
      <c r="F44" s="743">
        <v>0</v>
      </c>
      <c r="G44" s="743">
        <v>0</v>
      </c>
      <c r="H44" s="743">
        <f t="shared" si="13"/>
        <v>0</v>
      </c>
      <c r="I44" s="259">
        <f t="shared" si="1"/>
        <v>0</v>
      </c>
      <c r="J44" s="584" t="str">
        <f t="shared" si="2"/>
        <v/>
      </c>
      <c r="K44" s="745">
        <f t="shared" si="14"/>
        <v>0</v>
      </c>
    </row>
    <row r="45" spans="1:11" ht="12.75" customHeight="1" x14ac:dyDescent="0.2">
      <c r="A45" s="520" t="s">
        <v>1285</v>
      </c>
      <c r="B45" s="170"/>
      <c r="C45" s="657">
        <f t="shared" ref="C45:H45" si="15">SUM(C46:C52)</f>
        <v>1017727</v>
      </c>
      <c r="D45" s="658">
        <f t="shared" si="15"/>
        <v>77955000</v>
      </c>
      <c r="E45" s="411">
        <f t="shared" si="15"/>
        <v>77955000</v>
      </c>
      <c r="F45" s="411">
        <f t="shared" si="15"/>
        <v>7387526.8499999996</v>
      </c>
      <c r="G45" s="411">
        <f t="shared" si="15"/>
        <v>26528236.050000001</v>
      </c>
      <c r="H45" s="411">
        <f t="shared" si="15"/>
        <v>32481249.999999996</v>
      </c>
      <c r="I45" s="259">
        <f t="shared" si="1"/>
        <v>5953013.9499999955</v>
      </c>
      <c r="J45" s="584">
        <f t="shared" si="2"/>
        <v>0.18327539580527216</v>
      </c>
      <c r="K45" s="651">
        <f>SUM(K46:K52)</f>
        <v>77955000</v>
      </c>
    </row>
    <row r="46" spans="1:11" ht="12.75" customHeight="1" x14ac:dyDescent="0.2">
      <c r="A46" s="583" t="s">
        <v>1286</v>
      </c>
      <c r="B46" s="170"/>
      <c r="C46" s="758"/>
      <c r="D46" s="755">
        <v>0</v>
      </c>
      <c r="E46" s="743">
        <v>0</v>
      </c>
      <c r="F46" s="743">
        <v>0</v>
      </c>
      <c r="G46" s="743">
        <v>0</v>
      </c>
      <c r="H46" s="743">
        <f t="shared" ref="H46:H52" si="16">E46/12*5</f>
        <v>0</v>
      </c>
      <c r="I46" s="259">
        <f t="shared" si="1"/>
        <v>0</v>
      </c>
      <c r="J46" s="584" t="str">
        <f t="shared" si="2"/>
        <v/>
      </c>
      <c r="K46" s="745">
        <f>D46</f>
        <v>0</v>
      </c>
    </row>
    <row r="47" spans="1:11" ht="12.75" customHeight="1" x14ac:dyDescent="0.2">
      <c r="A47" s="583" t="s">
        <v>1287</v>
      </c>
      <c r="B47" s="170"/>
      <c r="C47" s="758"/>
      <c r="D47" s="755">
        <v>0</v>
      </c>
      <c r="E47" s="743">
        <v>0</v>
      </c>
      <c r="F47" s="743">
        <v>0</v>
      </c>
      <c r="G47" s="743">
        <v>0</v>
      </c>
      <c r="H47" s="743">
        <f t="shared" si="16"/>
        <v>0</v>
      </c>
      <c r="I47" s="259">
        <f t="shared" si="1"/>
        <v>0</v>
      </c>
      <c r="J47" s="584" t="str">
        <f t="shared" si="2"/>
        <v/>
      </c>
      <c r="K47" s="745">
        <f t="shared" ref="K47" si="17">D47</f>
        <v>0</v>
      </c>
    </row>
    <row r="48" spans="1:11" ht="12.75" customHeight="1" x14ac:dyDescent="0.2">
      <c r="A48" s="583" t="s">
        <v>1288</v>
      </c>
      <c r="B48" s="170"/>
      <c r="C48" s="758"/>
      <c r="D48" s="755">
        <v>67899100</v>
      </c>
      <c r="E48" s="743">
        <v>67899100</v>
      </c>
      <c r="F48" s="743">
        <v>7387526.8499999996</v>
      </c>
      <c r="G48" s="743">
        <v>26528236.050000001</v>
      </c>
      <c r="H48" s="755">
        <f t="shared" si="16"/>
        <v>28291291.666666664</v>
      </c>
      <c r="I48" s="259">
        <f t="shared" si="1"/>
        <v>1763055.6166666634</v>
      </c>
      <c r="J48" s="584">
        <f t="shared" si="2"/>
        <v>6.2317961210089569E-2</v>
      </c>
      <c r="K48" s="745">
        <v>67899100</v>
      </c>
    </row>
    <row r="49" spans="1:11" ht="12.75" customHeight="1" x14ac:dyDescent="0.2">
      <c r="A49" s="583" t="s">
        <v>1289</v>
      </c>
      <c r="B49" s="170"/>
      <c r="C49" s="758">
        <v>1017727</v>
      </c>
      <c r="D49" s="755">
        <v>9695342</v>
      </c>
      <c r="E49" s="743">
        <v>9695342</v>
      </c>
      <c r="F49" s="743">
        <v>0</v>
      </c>
      <c r="G49" s="743">
        <v>0</v>
      </c>
      <c r="H49" s="755">
        <f t="shared" si="16"/>
        <v>4039725.833333333</v>
      </c>
      <c r="I49" s="259">
        <f t="shared" si="1"/>
        <v>4039725.833333333</v>
      </c>
      <c r="J49" s="584">
        <f t="shared" si="2"/>
        <v>1</v>
      </c>
      <c r="K49" s="745">
        <v>9695342</v>
      </c>
    </row>
    <row r="50" spans="1:11" ht="12.75" customHeight="1" x14ac:dyDescent="0.2">
      <c r="A50" s="583" t="s">
        <v>1290</v>
      </c>
      <c r="B50" s="170"/>
      <c r="C50" s="758"/>
      <c r="D50" s="755">
        <v>0</v>
      </c>
      <c r="E50" s="743">
        <v>0</v>
      </c>
      <c r="F50" s="743">
        <v>0</v>
      </c>
      <c r="G50" s="743">
        <v>0</v>
      </c>
      <c r="H50" s="743">
        <f t="shared" si="16"/>
        <v>0</v>
      </c>
      <c r="I50" s="259">
        <f t="shared" si="1"/>
        <v>0</v>
      </c>
      <c r="J50" s="584" t="str">
        <f t="shared" si="2"/>
        <v/>
      </c>
      <c r="K50" s="745">
        <v>0</v>
      </c>
    </row>
    <row r="51" spans="1:11" ht="12.75" customHeight="1" x14ac:dyDescent="0.2">
      <c r="A51" s="583" t="s">
        <v>1291</v>
      </c>
      <c r="B51" s="170"/>
      <c r="C51" s="758"/>
      <c r="D51" s="755">
        <v>0</v>
      </c>
      <c r="E51" s="743">
        <v>0</v>
      </c>
      <c r="F51" s="743">
        <v>0</v>
      </c>
      <c r="G51" s="743">
        <v>0</v>
      </c>
      <c r="H51" s="743">
        <f t="shared" si="16"/>
        <v>0</v>
      </c>
      <c r="I51" s="259">
        <f t="shared" si="1"/>
        <v>0</v>
      </c>
      <c r="J51" s="584" t="str">
        <f t="shared" si="2"/>
        <v/>
      </c>
      <c r="K51" s="745">
        <v>0</v>
      </c>
    </row>
    <row r="52" spans="1:11" ht="12.75" customHeight="1" x14ac:dyDescent="0.2">
      <c r="A52" s="583" t="s">
        <v>1256</v>
      </c>
      <c r="B52" s="170"/>
      <c r="C52" s="758"/>
      <c r="D52" s="755">
        <v>360558</v>
      </c>
      <c r="E52" s="743">
        <v>360558</v>
      </c>
      <c r="F52" s="743">
        <v>0</v>
      </c>
      <c r="G52" s="743">
        <v>0</v>
      </c>
      <c r="H52" s="755">
        <f t="shared" si="16"/>
        <v>150232.5</v>
      </c>
      <c r="I52" s="259">
        <f t="shared" si="1"/>
        <v>150232.5</v>
      </c>
      <c r="J52" s="584">
        <f t="shared" si="2"/>
        <v>1</v>
      </c>
      <c r="K52" s="745">
        <v>360558</v>
      </c>
    </row>
    <row r="53" spans="1:11" ht="12.75" customHeight="1" x14ac:dyDescent="0.2">
      <c r="A53" s="521" t="s">
        <v>1292</v>
      </c>
      <c r="B53" s="170"/>
      <c r="C53" s="657">
        <f t="shared" ref="C53:H53" si="18">SUM(C54:C62)</f>
        <v>0</v>
      </c>
      <c r="D53" s="658">
        <f t="shared" si="18"/>
        <v>0</v>
      </c>
      <c r="E53" s="411">
        <f t="shared" si="18"/>
        <v>0</v>
      </c>
      <c r="F53" s="411">
        <f t="shared" si="18"/>
        <v>0</v>
      </c>
      <c r="G53" s="411">
        <f t="shared" si="18"/>
        <v>0</v>
      </c>
      <c r="H53" s="411">
        <f t="shared" si="18"/>
        <v>0</v>
      </c>
      <c r="I53" s="259">
        <f t="shared" si="1"/>
        <v>0</v>
      </c>
      <c r="J53" s="584" t="str">
        <f t="shared" si="2"/>
        <v/>
      </c>
      <c r="K53" s="651">
        <f>SUM(K54:K62)</f>
        <v>0</v>
      </c>
    </row>
    <row r="54" spans="1:11" ht="12.75" customHeight="1" x14ac:dyDescent="0.2">
      <c r="A54" s="583" t="s">
        <v>1293</v>
      </c>
      <c r="B54" s="170"/>
      <c r="C54" s="758"/>
      <c r="D54" s="755">
        <v>0</v>
      </c>
      <c r="E54" s="743">
        <v>0</v>
      </c>
      <c r="F54" s="743">
        <v>0</v>
      </c>
      <c r="G54" s="743">
        <v>0</v>
      </c>
      <c r="H54" s="743">
        <f>D54/12*7</f>
        <v>0</v>
      </c>
      <c r="I54" s="259">
        <f t="shared" si="1"/>
        <v>0</v>
      </c>
      <c r="J54" s="584" t="str">
        <f t="shared" si="2"/>
        <v/>
      </c>
      <c r="K54" s="745">
        <f>D54</f>
        <v>0</v>
      </c>
    </row>
    <row r="55" spans="1:11" ht="12.75" customHeight="1" x14ac:dyDescent="0.2">
      <c r="A55" s="583" t="s">
        <v>1294</v>
      </c>
      <c r="B55" s="170"/>
      <c r="C55" s="758"/>
      <c r="D55" s="755">
        <v>0</v>
      </c>
      <c r="E55" s="743">
        <v>0</v>
      </c>
      <c r="F55" s="743">
        <v>0</v>
      </c>
      <c r="G55" s="743">
        <v>0</v>
      </c>
      <c r="H55" s="743">
        <f t="shared" ref="H55:H62" si="19">D55/12*7</f>
        <v>0</v>
      </c>
      <c r="I55" s="259">
        <f t="shared" si="1"/>
        <v>0</v>
      </c>
      <c r="J55" s="584" t="str">
        <f t="shared" si="2"/>
        <v/>
      </c>
      <c r="K55" s="745">
        <f t="shared" ref="K55:K62" si="20">D55</f>
        <v>0</v>
      </c>
    </row>
    <row r="56" spans="1:11" ht="12.75" customHeight="1" x14ac:dyDescent="0.2">
      <c r="A56" s="583" t="s">
        <v>1295</v>
      </c>
      <c r="B56" s="170"/>
      <c r="C56" s="758"/>
      <c r="D56" s="755">
        <v>0</v>
      </c>
      <c r="E56" s="743">
        <v>0</v>
      </c>
      <c r="F56" s="743">
        <v>0</v>
      </c>
      <c r="G56" s="743">
        <v>0</v>
      </c>
      <c r="H56" s="743">
        <f t="shared" si="19"/>
        <v>0</v>
      </c>
      <c r="I56" s="259">
        <f t="shared" si="1"/>
        <v>0</v>
      </c>
      <c r="J56" s="584" t="str">
        <f t="shared" si="2"/>
        <v/>
      </c>
      <c r="K56" s="745">
        <f t="shared" si="20"/>
        <v>0</v>
      </c>
    </row>
    <row r="57" spans="1:11" ht="12.75" customHeight="1" x14ac:dyDescent="0.2">
      <c r="A57" s="583" t="s">
        <v>1258</v>
      </c>
      <c r="B57" s="170"/>
      <c r="C57" s="758"/>
      <c r="D57" s="755">
        <v>0</v>
      </c>
      <c r="E57" s="743">
        <v>0</v>
      </c>
      <c r="F57" s="743">
        <v>0</v>
      </c>
      <c r="G57" s="743">
        <v>0</v>
      </c>
      <c r="H57" s="743">
        <f t="shared" si="19"/>
        <v>0</v>
      </c>
      <c r="I57" s="259">
        <f t="shared" si="1"/>
        <v>0</v>
      </c>
      <c r="J57" s="584" t="str">
        <f t="shared" si="2"/>
        <v/>
      </c>
      <c r="K57" s="745">
        <f t="shared" si="20"/>
        <v>0</v>
      </c>
    </row>
    <row r="58" spans="1:11" ht="12.75" customHeight="1" x14ac:dyDescent="0.2">
      <c r="A58" s="583" t="s">
        <v>1259</v>
      </c>
      <c r="B58" s="170"/>
      <c r="C58" s="758"/>
      <c r="D58" s="755">
        <v>0</v>
      </c>
      <c r="E58" s="743">
        <v>0</v>
      </c>
      <c r="F58" s="743">
        <v>0</v>
      </c>
      <c r="G58" s="743">
        <v>0</v>
      </c>
      <c r="H58" s="743">
        <f t="shared" si="19"/>
        <v>0</v>
      </c>
      <c r="I58" s="259">
        <f t="shared" si="1"/>
        <v>0</v>
      </c>
      <c r="J58" s="584" t="str">
        <f t="shared" si="2"/>
        <v/>
      </c>
      <c r="K58" s="745">
        <f t="shared" si="20"/>
        <v>0</v>
      </c>
    </row>
    <row r="59" spans="1:11" ht="12.75" customHeight="1" x14ac:dyDescent="0.2">
      <c r="A59" s="583" t="s">
        <v>1260</v>
      </c>
      <c r="B59" s="170"/>
      <c r="C59" s="758"/>
      <c r="D59" s="755">
        <v>0</v>
      </c>
      <c r="E59" s="743">
        <v>0</v>
      </c>
      <c r="F59" s="743">
        <v>0</v>
      </c>
      <c r="G59" s="743">
        <v>0</v>
      </c>
      <c r="H59" s="743">
        <f t="shared" si="19"/>
        <v>0</v>
      </c>
      <c r="I59" s="259">
        <f t="shared" si="1"/>
        <v>0</v>
      </c>
      <c r="J59" s="584" t="str">
        <f t="shared" si="2"/>
        <v/>
      </c>
      <c r="K59" s="745">
        <f t="shared" si="20"/>
        <v>0</v>
      </c>
    </row>
    <row r="60" spans="1:11" ht="12.75" customHeight="1" x14ac:dyDescent="0.2">
      <c r="A60" s="583" t="s">
        <v>1266</v>
      </c>
      <c r="B60" s="170"/>
      <c r="C60" s="758"/>
      <c r="D60" s="755">
        <v>0</v>
      </c>
      <c r="E60" s="743">
        <v>0</v>
      </c>
      <c r="F60" s="743">
        <v>0</v>
      </c>
      <c r="G60" s="743">
        <v>0</v>
      </c>
      <c r="H60" s="743">
        <f t="shared" si="19"/>
        <v>0</v>
      </c>
      <c r="I60" s="259">
        <f t="shared" si="1"/>
        <v>0</v>
      </c>
      <c r="J60" s="584" t="str">
        <f t="shared" si="2"/>
        <v/>
      </c>
      <c r="K60" s="745">
        <f t="shared" si="20"/>
        <v>0</v>
      </c>
    </row>
    <row r="61" spans="1:11" ht="12.75" customHeight="1" x14ac:dyDescent="0.2">
      <c r="A61" s="583" t="s">
        <v>1269</v>
      </c>
      <c r="B61" s="170"/>
      <c r="C61" s="758"/>
      <c r="D61" s="755">
        <v>0</v>
      </c>
      <c r="E61" s="743">
        <v>0</v>
      </c>
      <c r="F61" s="743">
        <v>0</v>
      </c>
      <c r="G61" s="743">
        <v>0</v>
      </c>
      <c r="H61" s="743">
        <f t="shared" si="19"/>
        <v>0</v>
      </c>
      <c r="I61" s="259">
        <f t="shared" si="1"/>
        <v>0</v>
      </c>
      <c r="J61" s="584" t="str">
        <f t="shared" si="2"/>
        <v/>
      </c>
      <c r="K61" s="745">
        <f t="shared" si="20"/>
        <v>0</v>
      </c>
    </row>
    <row r="62" spans="1:11" ht="12.75" customHeight="1" x14ac:dyDescent="0.2">
      <c r="A62" s="583" t="s">
        <v>1256</v>
      </c>
      <c r="B62" s="170"/>
      <c r="C62" s="758">
        <v>0</v>
      </c>
      <c r="D62" s="755">
        <v>0</v>
      </c>
      <c r="E62" s="743">
        <v>0</v>
      </c>
      <c r="F62" s="743">
        <v>0</v>
      </c>
      <c r="G62" s="743">
        <v>0</v>
      </c>
      <c r="H62" s="743">
        <f t="shared" si="19"/>
        <v>0</v>
      </c>
      <c r="I62" s="259">
        <f t="shared" si="1"/>
        <v>0</v>
      </c>
      <c r="J62" s="584" t="str">
        <f t="shared" si="2"/>
        <v/>
      </c>
      <c r="K62" s="745">
        <f t="shared" si="20"/>
        <v>0</v>
      </c>
    </row>
    <row r="63" spans="1:11" ht="12.75" customHeight="1" x14ac:dyDescent="0.2">
      <c r="A63" s="520" t="s">
        <v>1296</v>
      </c>
      <c r="B63" s="170"/>
      <c r="C63" s="657">
        <f t="shared" ref="C63:H63" si="21">SUM(C64:C68)</f>
        <v>0</v>
      </c>
      <c r="D63" s="658">
        <f t="shared" si="21"/>
        <v>0</v>
      </c>
      <c r="E63" s="411">
        <f t="shared" si="21"/>
        <v>0</v>
      </c>
      <c r="F63" s="411">
        <f t="shared" si="21"/>
        <v>0</v>
      </c>
      <c r="G63" s="411">
        <f t="shared" si="21"/>
        <v>0</v>
      </c>
      <c r="H63" s="411">
        <f t="shared" si="21"/>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22">SUM(C70:C73)</f>
        <v>0</v>
      </c>
      <c r="D69" s="658">
        <f t="shared" si="22"/>
        <v>0</v>
      </c>
      <c r="E69" s="411">
        <f t="shared" si="22"/>
        <v>0</v>
      </c>
      <c r="F69" s="411">
        <f t="shared" si="22"/>
        <v>0</v>
      </c>
      <c r="G69" s="411">
        <f t="shared" si="22"/>
        <v>0</v>
      </c>
      <c r="H69" s="411">
        <f t="shared" si="22"/>
        <v>0</v>
      </c>
      <c r="I69" s="259">
        <f t="shared" si="1"/>
        <v>0</v>
      </c>
      <c r="J69" s="584" t="str">
        <f t="shared" si="2"/>
        <v/>
      </c>
      <c r="K69" s="651">
        <f>SUM(K70:K73)</f>
        <v>0</v>
      </c>
    </row>
    <row r="70" spans="1:11" ht="12.75" customHeight="1" x14ac:dyDescent="0.2">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0</v>
      </c>
      <c r="E73" s="743">
        <v>0</v>
      </c>
      <c r="F73" s="743">
        <v>0</v>
      </c>
      <c r="G73" s="743">
        <v>0</v>
      </c>
      <c r="H73" s="743">
        <v>0</v>
      </c>
      <c r="I73" s="259">
        <f t="shared" si="1"/>
        <v>0</v>
      </c>
      <c r="J73" s="584" t="str">
        <f t="shared" si="2"/>
        <v/>
      </c>
      <c r="K73" s="745">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3">+C76+C99</f>
        <v>850000</v>
      </c>
      <c r="D75" s="586">
        <f t="shared" si="23"/>
        <v>56227188</v>
      </c>
      <c r="E75" s="587">
        <f t="shared" si="23"/>
        <v>56477388</v>
      </c>
      <c r="F75" s="587">
        <f t="shared" si="23"/>
        <v>3100461.6999999997</v>
      </c>
      <c r="G75" s="587">
        <f t="shared" si="23"/>
        <v>16177907.959999999</v>
      </c>
      <c r="H75" s="587">
        <f t="shared" si="23"/>
        <v>23532245</v>
      </c>
      <c r="I75" s="587">
        <f t="shared" si="1"/>
        <v>7354337.040000001</v>
      </c>
      <c r="J75" s="588">
        <f t="shared" si="2"/>
        <v>0.31252169268168001</v>
      </c>
      <c r="K75" s="589">
        <f>+K76+K99</f>
        <v>56477388</v>
      </c>
    </row>
    <row r="76" spans="1:11" ht="12.75" customHeight="1" x14ac:dyDescent="0.2">
      <c r="A76" s="521" t="s">
        <v>1305</v>
      </c>
      <c r="B76" s="170"/>
      <c r="C76" s="657">
        <f t="shared" ref="C76:H76" si="24">SUM(C77:C98)</f>
        <v>0</v>
      </c>
      <c r="D76" s="658">
        <f t="shared" si="24"/>
        <v>6885984</v>
      </c>
      <c r="E76" s="411">
        <f t="shared" si="24"/>
        <v>7136184</v>
      </c>
      <c r="F76" s="411">
        <f t="shared" si="24"/>
        <v>549167.93999999994</v>
      </c>
      <c r="G76" s="411">
        <f t="shared" si="24"/>
        <v>2820591.1899999995</v>
      </c>
      <c r="H76" s="411">
        <f t="shared" si="24"/>
        <v>2973410.0000000005</v>
      </c>
      <c r="I76" s="259">
        <f t="shared" si="1"/>
        <v>152818.81000000099</v>
      </c>
      <c r="J76" s="584">
        <f t="shared" si="2"/>
        <v>5.1395135551437897E-2</v>
      </c>
      <c r="K76" s="651">
        <f>SUM(K77:K98)</f>
        <v>7136184</v>
      </c>
    </row>
    <row r="77" spans="1:11" ht="12.75" customHeight="1" x14ac:dyDescent="0.2">
      <c r="A77" s="583" t="s">
        <v>1306</v>
      </c>
      <c r="B77" s="170"/>
      <c r="C77" s="758">
        <v>0</v>
      </c>
      <c r="D77" s="755">
        <f>5742996+610585</f>
        <v>6353581</v>
      </c>
      <c r="E77" s="743">
        <v>6603781</v>
      </c>
      <c r="F77" s="743">
        <v>294174.58</v>
      </c>
      <c r="G77" s="743">
        <v>2079914.2399999998</v>
      </c>
      <c r="H77" s="743">
        <f t="shared" ref="H77:H98" si="25">E77/12*5</f>
        <v>2751575.416666667</v>
      </c>
      <c r="I77" s="45">
        <f t="shared" si="1"/>
        <v>671661.17666666722</v>
      </c>
      <c r="J77" s="125">
        <f t="shared" si="2"/>
        <v>0.24410058782991156</v>
      </c>
      <c r="K77" s="745">
        <v>6603781</v>
      </c>
    </row>
    <row r="78" spans="1:11" ht="12.75" customHeight="1" x14ac:dyDescent="0.2">
      <c r="A78" s="583" t="s">
        <v>1307</v>
      </c>
      <c r="B78" s="170"/>
      <c r="C78" s="758">
        <v>0</v>
      </c>
      <c r="D78" s="763"/>
      <c r="E78" s="743">
        <v>0</v>
      </c>
      <c r="F78" s="743">
        <v>0</v>
      </c>
      <c r="G78" s="743">
        <v>0</v>
      </c>
      <c r="H78" s="743">
        <f t="shared" si="25"/>
        <v>0</v>
      </c>
      <c r="I78" s="45">
        <f t="shared" si="1"/>
        <v>0</v>
      </c>
      <c r="J78" s="125" t="str">
        <f t="shared" si="2"/>
        <v/>
      </c>
      <c r="K78" s="745">
        <v>0</v>
      </c>
    </row>
    <row r="79" spans="1:11" ht="12.75" customHeight="1" x14ac:dyDescent="0.2">
      <c r="A79" s="583" t="s">
        <v>1308</v>
      </c>
      <c r="B79" s="170"/>
      <c r="C79" s="758">
        <v>0</v>
      </c>
      <c r="D79" s="763">
        <v>0</v>
      </c>
      <c r="E79" s="743"/>
      <c r="F79" s="743">
        <v>0</v>
      </c>
      <c r="G79" s="743">
        <v>0</v>
      </c>
      <c r="H79" s="743">
        <f t="shared" si="25"/>
        <v>0</v>
      </c>
      <c r="I79" s="45">
        <f t="shared" si="1"/>
        <v>0</v>
      </c>
      <c r="J79" s="125" t="str">
        <f t="shared" si="2"/>
        <v/>
      </c>
      <c r="K79" s="745"/>
    </row>
    <row r="80" spans="1:11" ht="12.75" customHeight="1" x14ac:dyDescent="0.2">
      <c r="A80" s="583" t="s">
        <v>1309</v>
      </c>
      <c r="B80" s="170"/>
      <c r="C80" s="758">
        <v>0</v>
      </c>
      <c r="D80" s="763">
        <v>0</v>
      </c>
      <c r="E80" s="743">
        <v>0</v>
      </c>
      <c r="F80" s="743">
        <v>0</v>
      </c>
      <c r="G80" s="743">
        <v>0</v>
      </c>
      <c r="H80" s="743">
        <f t="shared" si="25"/>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si="25"/>
        <v>0</v>
      </c>
      <c r="I81" s="45">
        <f t="shared" si="1"/>
        <v>0</v>
      </c>
      <c r="J81" s="125" t="str">
        <f t="shared" si="2"/>
        <v/>
      </c>
      <c r="K81" s="745">
        <v>0</v>
      </c>
    </row>
    <row r="82" spans="1:11" ht="12.75" customHeight="1" x14ac:dyDescent="0.2">
      <c r="A82" s="583" t="s">
        <v>1311</v>
      </c>
      <c r="B82" s="170"/>
      <c r="C82" s="758">
        <v>0</v>
      </c>
      <c r="D82" s="755">
        <v>2105</v>
      </c>
      <c r="E82" s="743">
        <v>2105</v>
      </c>
      <c r="F82" s="743">
        <v>0</v>
      </c>
      <c r="G82" s="743">
        <v>0</v>
      </c>
      <c r="H82" s="743">
        <f t="shared" si="25"/>
        <v>877.08333333333326</v>
      </c>
      <c r="I82" s="45">
        <f t="shared" si="1"/>
        <v>877.08333333333326</v>
      </c>
      <c r="J82" s="125">
        <f t="shared" si="2"/>
        <v>1</v>
      </c>
      <c r="K82" s="745">
        <v>2105</v>
      </c>
    </row>
    <row r="83" spans="1:11" ht="12.75" customHeight="1" x14ac:dyDescent="0.2">
      <c r="A83" s="583" t="s">
        <v>1312</v>
      </c>
      <c r="B83" s="170"/>
      <c r="C83" s="758">
        <v>0</v>
      </c>
      <c r="D83" s="755">
        <v>18952</v>
      </c>
      <c r="E83" s="743">
        <v>18952</v>
      </c>
      <c r="F83" s="743">
        <v>0</v>
      </c>
      <c r="G83" s="743">
        <v>0</v>
      </c>
      <c r="H83" s="743">
        <f t="shared" si="25"/>
        <v>7896.6666666666661</v>
      </c>
      <c r="I83" s="45">
        <f t="shared" si="1"/>
        <v>7896.6666666666661</v>
      </c>
      <c r="J83" s="125">
        <f t="shared" si="2"/>
        <v>1</v>
      </c>
      <c r="K83" s="745">
        <v>18952</v>
      </c>
    </row>
    <row r="84" spans="1:11" ht="12.75" customHeight="1" x14ac:dyDescent="0.2">
      <c r="A84" s="583" t="s">
        <v>1313</v>
      </c>
      <c r="B84" s="170"/>
      <c r="C84" s="758">
        <v>0</v>
      </c>
      <c r="D84" s="755">
        <v>63976</v>
      </c>
      <c r="E84" s="743">
        <v>63976</v>
      </c>
      <c r="F84" s="743">
        <v>0</v>
      </c>
      <c r="G84" s="743">
        <v>0</v>
      </c>
      <c r="H84" s="743">
        <f t="shared" si="25"/>
        <v>26656.666666666664</v>
      </c>
      <c r="I84" s="45">
        <f t="shared" si="1"/>
        <v>26656.666666666664</v>
      </c>
      <c r="J84" s="125">
        <f t="shared" si="2"/>
        <v>1</v>
      </c>
      <c r="K84" s="745">
        <v>63976</v>
      </c>
    </row>
    <row r="85" spans="1:11" ht="12.75" customHeight="1" x14ac:dyDescent="0.2">
      <c r="A85" s="583" t="s">
        <v>1189</v>
      </c>
      <c r="B85" s="170"/>
      <c r="C85" s="758">
        <v>0</v>
      </c>
      <c r="D85" s="763">
        <v>0</v>
      </c>
      <c r="E85" s="743">
        <v>0</v>
      </c>
      <c r="F85" s="743">
        <v>0</v>
      </c>
      <c r="G85" s="743">
        <v>0</v>
      </c>
      <c r="H85" s="743">
        <f t="shared" si="25"/>
        <v>0</v>
      </c>
      <c r="I85" s="45">
        <f t="shared" si="1"/>
        <v>0</v>
      </c>
      <c r="J85" s="125" t="str">
        <f t="shared" si="2"/>
        <v/>
      </c>
      <c r="K85" s="745">
        <v>0</v>
      </c>
    </row>
    <row r="86" spans="1:11" ht="12.75" customHeight="1" x14ac:dyDescent="0.2">
      <c r="A86" s="583" t="s">
        <v>572</v>
      </c>
      <c r="B86" s="170"/>
      <c r="C86" s="758">
        <v>0</v>
      </c>
      <c r="D86" s="755">
        <v>40853</v>
      </c>
      <c r="E86" s="743">
        <v>40853</v>
      </c>
      <c r="F86" s="743">
        <v>0</v>
      </c>
      <c r="G86" s="743">
        <v>0</v>
      </c>
      <c r="H86" s="743">
        <f t="shared" si="25"/>
        <v>17022.083333333332</v>
      </c>
      <c r="I86" s="45">
        <f t="shared" si="1"/>
        <v>17022.083333333332</v>
      </c>
      <c r="J86" s="125">
        <f t="shared" si="2"/>
        <v>1</v>
      </c>
      <c r="K86" s="745">
        <v>40853</v>
      </c>
    </row>
    <row r="87" spans="1:11" ht="12.75" customHeight="1" x14ac:dyDescent="0.2">
      <c r="A87" s="583" t="s">
        <v>1314</v>
      </c>
      <c r="B87" s="170"/>
      <c r="C87" s="758">
        <v>0</v>
      </c>
      <c r="D87" s="763">
        <v>0</v>
      </c>
      <c r="E87" s="743">
        <v>0</v>
      </c>
      <c r="F87" s="743">
        <v>0</v>
      </c>
      <c r="G87" s="743">
        <v>0</v>
      </c>
      <c r="H87" s="743">
        <f t="shared" si="25"/>
        <v>0</v>
      </c>
      <c r="I87" s="45">
        <f t="shared" si="1"/>
        <v>0</v>
      </c>
      <c r="J87" s="125" t="str">
        <f t="shared" si="2"/>
        <v/>
      </c>
      <c r="K87" s="745">
        <v>0</v>
      </c>
    </row>
    <row r="88" spans="1:11" ht="12.75" customHeight="1" x14ac:dyDescent="0.2">
      <c r="A88" s="583" t="s">
        <v>173</v>
      </c>
      <c r="B88" s="170"/>
      <c r="C88" s="758">
        <v>0</v>
      </c>
      <c r="D88" s="763">
        <v>0</v>
      </c>
      <c r="E88" s="743">
        <v>0</v>
      </c>
      <c r="F88" s="743">
        <v>0</v>
      </c>
      <c r="G88" s="743">
        <v>0</v>
      </c>
      <c r="H88" s="743">
        <f t="shared" si="25"/>
        <v>0</v>
      </c>
      <c r="I88" s="45">
        <f t="shared" si="1"/>
        <v>0</v>
      </c>
      <c r="J88" s="125" t="str">
        <f t="shared" si="2"/>
        <v/>
      </c>
      <c r="K88" s="745">
        <v>0</v>
      </c>
    </row>
    <row r="89" spans="1:11" ht="12.75" customHeight="1" x14ac:dyDescent="0.2">
      <c r="A89" s="583" t="s">
        <v>1315</v>
      </c>
      <c r="B89" s="170"/>
      <c r="C89" s="758">
        <v>0</v>
      </c>
      <c r="D89" s="763">
        <v>0</v>
      </c>
      <c r="E89" s="743">
        <v>0</v>
      </c>
      <c r="F89" s="743">
        <v>254993.36</v>
      </c>
      <c r="G89" s="743">
        <v>740676.95</v>
      </c>
      <c r="H89" s="743">
        <f t="shared" si="25"/>
        <v>0</v>
      </c>
      <c r="I89" s="45">
        <f t="shared" si="1"/>
        <v>-740676.95</v>
      </c>
      <c r="J89" s="125" t="e">
        <f t="shared" si="2"/>
        <v>#DIV/0!</v>
      </c>
      <c r="K89" s="745">
        <v>0</v>
      </c>
    </row>
    <row r="90" spans="1:11" ht="12.75" customHeight="1" x14ac:dyDescent="0.2">
      <c r="A90" s="583" t="s">
        <v>1316</v>
      </c>
      <c r="B90" s="170"/>
      <c r="C90" s="758">
        <v>0</v>
      </c>
      <c r="D90" s="763">
        <v>0</v>
      </c>
      <c r="E90" s="743">
        <v>0</v>
      </c>
      <c r="F90" s="743">
        <v>0</v>
      </c>
      <c r="G90" s="743">
        <v>0</v>
      </c>
      <c r="H90" s="743">
        <f t="shared" si="25"/>
        <v>0</v>
      </c>
      <c r="I90" s="45">
        <f t="shared" si="1"/>
        <v>0</v>
      </c>
      <c r="J90" s="125" t="str">
        <f t="shared" si="2"/>
        <v/>
      </c>
      <c r="K90" s="745">
        <v>0</v>
      </c>
    </row>
    <row r="91" spans="1:11" ht="12.75" customHeight="1" x14ac:dyDescent="0.2">
      <c r="A91" s="583" t="s">
        <v>1317</v>
      </c>
      <c r="B91" s="170"/>
      <c r="C91" s="758">
        <v>0</v>
      </c>
      <c r="D91" s="755">
        <v>399869</v>
      </c>
      <c r="E91" s="743">
        <v>399869</v>
      </c>
      <c r="F91" s="743">
        <v>0</v>
      </c>
      <c r="G91" s="743">
        <v>0</v>
      </c>
      <c r="H91" s="743">
        <f t="shared" si="25"/>
        <v>166612.08333333331</v>
      </c>
      <c r="I91" s="45">
        <f t="shared" si="1"/>
        <v>166612.08333333331</v>
      </c>
      <c r="J91" s="125">
        <f t="shared" si="2"/>
        <v>1</v>
      </c>
      <c r="K91" s="745">
        <v>399869</v>
      </c>
    </row>
    <row r="92" spans="1:11" ht="12.75" customHeight="1" x14ac:dyDescent="0.2">
      <c r="A92" s="583" t="s">
        <v>1318</v>
      </c>
      <c r="B92" s="170"/>
      <c r="C92" s="758">
        <v>0</v>
      </c>
      <c r="D92" s="763">
        <v>0</v>
      </c>
      <c r="E92" s="743">
        <v>0</v>
      </c>
      <c r="F92" s="743">
        <v>0</v>
      </c>
      <c r="G92" s="743">
        <v>0</v>
      </c>
      <c r="H92" s="743">
        <f t="shared" si="25"/>
        <v>0</v>
      </c>
      <c r="I92" s="45">
        <f t="shared" si="1"/>
        <v>0</v>
      </c>
      <c r="J92" s="125" t="str">
        <f t="shared" si="2"/>
        <v/>
      </c>
      <c r="K92" s="745">
        <v>0</v>
      </c>
    </row>
    <row r="93" spans="1:11" ht="12.75" customHeight="1" x14ac:dyDescent="0.2">
      <c r="A93" s="583" t="s">
        <v>451</v>
      </c>
      <c r="B93" s="170"/>
      <c r="C93" s="758">
        <v>0</v>
      </c>
      <c r="D93" s="763">
        <v>0</v>
      </c>
      <c r="E93" s="743">
        <v>0</v>
      </c>
      <c r="F93" s="743">
        <v>0</v>
      </c>
      <c r="G93" s="743">
        <v>0</v>
      </c>
      <c r="H93" s="743">
        <f t="shared" si="25"/>
        <v>0</v>
      </c>
      <c r="I93" s="45">
        <f t="shared" si="1"/>
        <v>0</v>
      </c>
      <c r="J93" s="125" t="str">
        <f t="shared" si="2"/>
        <v/>
      </c>
      <c r="K93" s="745">
        <v>0</v>
      </c>
    </row>
    <row r="94" spans="1:11" ht="12.75" customHeight="1" x14ac:dyDescent="0.2">
      <c r="A94" s="583" t="s">
        <v>1319</v>
      </c>
      <c r="B94" s="170"/>
      <c r="C94" s="758">
        <v>0</v>
      </c>
      <c r="D94" s="763">
        <v>0</v>
      </c>
      <c r="E94" s="743">
        <v>0</v>
      </c>
      <c r="F94" s="743">
        <v>0</v>
      </c>
      <c r="G94" s="743">
        <v>0</v>
      </c>
      <c r="H94" s="743">
        <f t="shared" si="25"/>
        <v>0</v>
      </c>
      <c r="I94" s="45">
        <f t="shared" si="1"/>
        <v>0</v>
      </c>
      <c r="J94" s="125" t="str">
        <f t="shared" si="2"/>
        <v/>
      </c>
      <c r="K94" s="745">
        <v>0</v>
      </c>
    </row>
    <row r="95" spans="1:11" ht="12.75" customHeight="1" x14ac:dyDescent="0.2">
      <c r="A95" s="583" t="s">
        <v>450</v>
      </c>
      <c r="B95" s="170"/>
      <c r="C95" s="758">
        <v>0</v>
      </c>
      <c r="D95" s="763">
        <v>0</v>
      </c>
      <c r="E95" s="743">
        <v>0</v>
      </c>
      <c r="F95" s="743">
        <v>0</v>
      </c>
      <c r="G95" s="743">
        <v>0</v>
      </c>
      <c r="H95" s="743">
        <f t="shared" si="25"/>
        <v>0</v>
      </c>
      <c r="I95" s="45">
        <f t="shared" si="1"/>
        <v>0</v>
      </c>
      <c r="J95" s="125" t="str">
        <f t="shared" si="2"/>
        <v/>
      </c>
      <c r="K95" s="745">
        <v>0</v>
      </c>
    </row>
    <row r="96" spans="1:11" ht="12.75" customHeight="1" x14ac:dyDescent="0.2">
      <c r="A96" s="583" t="s">
        <v>1320</v>
      </c>
      <c r="B96" s="170"/>
      <c r="C96" s="758">
        <v>0</v>
      </c>
      <c r="D96" s="755">
        <v>6648</v>
      </c>
      <c r="E96" s="743">
        <v>6648</v>
      </c>
      <c r="F96" s="743">
        <v>0</v>
      </c>
      <c r="G96" s="743">
        <v>0</v>
      </c>
      <c r="H96" s="743">
        <f t="shared" si="25"/>
        <v>2770</v>
      </c>
      <c r="I96" s="45">
        <f t="shared" si="1"/>
        <v>2770</v>
      </c>
      <c r="J96" s="125">
        <f t="shared" si="2"/>
        <v>1</v>
      </c>
      <c r="K96" s="745">
        <v>6648</v>
      </c>
    </row>
    <row r="97" spans="1:11" ht="12.75" customHeight="1" x14ac:dyDescent="0.2">
      <c r="A97" s="583" t="s">
        <v>1321</v>
      </c>
      <c r="B97" s="170"/>
      <c r="C97" s="758">
        <v>0</v>
      </c>
      <c r="D97" s="763">
        <v>0</v>
      </c>
      <c r="E97" s="743">
        <v>0</v>
      </c>
      <c r="F97" s="743">
        <v>0</v>
      </c>
      <c r="G97" s="743">
        <v>0</v>
      </c>
      <c r="H97" s="743">
        <f t="shared" si="25"/>
        <v>0</v>
      </c>
      <c r="I97" s="45">
        <f t="shared" si="1"/>
        <v>0</v>
      </c>
      <c r="J97" s="125" t="str">
        <f t="shared" si="2"/>
        <v/>
      </c>
      <c r="K97" s="745">
        <v>0</v>
      </c>
    </row>
    <row r="98" spans="1:11" ht="12.75" customHeight="1" x14ac:dyDescent="0.2">
      <c r="A98" s="583" t="s">
        <v>1256</v>
      </c>
      <c r="B98" s="170"/>
      <c r="C98" s="758">
        <v>0</v>
      </c>
      <c r="D98" s="763">
        <v>0</v>
      </c>
      <c r="E98" s="743">
        <v>0</v>
      </c>
      <c r="F98" s="743">
        <v>0</v>
      </c>
      <c r="G98" s="743">
        <v>0</v>
      </c>
      <c r="H98" s="743">
        <f t="shared" si="25"/>
        <v>0</v>
      </c>
      <c r="I98" s="45">
        <f t="shared" si="1"/>
        <v>0</v>
      </c>
      <c r="J98" s="125" t="str">
        <f t="shared" si="2"/>
        <v/>
      </c>
      <c r="K98" s="745">
        <v>0</v>
      </c>
    </row>
    <row r="99" spans="1:11" ht="12.75" customHeight="1" x14ac:dyDescent="0.2">
      <c r="A99" s="521" t="s">
        <v>1322</v>
      </c>
      <c r="B99" s="170"/>
      <c r="C99" s="657">
        <f t="shared" ref="C99:H99" si="26">SUM(C100:C102)</f>
        <v>850000</v>
      </c>
      <c r="D99" s="658">
        <f t="shared" si="26"/>
        <v>49341204</v>
      </c>
      <c r="E99" s="411">
        <f t="shared" si="26"/>
        <v>49341204</v>
      </c>
      <c r="F99" s="411">
        <f t="shared" si="26"/>
        <v>2551293.7599999998</v>
      </c>
      <c r="G99" s="411">
        <f t="shared" si="26"/>
        <v>13357316.77</v>
      </c>
      <c r="H99" s="411">
        <f t="shared" si="26"/>
        <v>20558835</v>
      </c>
      <c r="I99" s="259">
        <f t="shared" si="1"/>
        <v>7201518.2300000004</v>
      </c>
      <c r="J99" s="584">
        <f t="shared" si="2"/>
        <v>0.35028824493216665</v>
      </c>
      <c r="K99" s="651">
        <f>SUM(K100:K102)</f>
        <v>49341204</v>
      </c>
    </row>
    <row r="100" spans="1:11" ht="12.75" customHeight="1" x14ac:dyDescent="0.2">
      <c r="A100" s="583" t="s">
        <v>1323</v>
      </c>
      <c r="B100" s="170"/>
      <c r="C100" s="758">
        <v>850000</v>
      </c>
      <c r="D100" s="755">
        <v>49341204</v>
      </c>
      <c r="E100" s="743">
        <v>49341204</v>
      </c>
      <c r="F100" s="743">
        <v>2551293.7599999998</v>
      </c>
      <c r="G100" s="743">
        <v>13357316.77</v>
      </c>
      <c r="H100" s="755">
        <f t="shared" ref="H100:H102" si="27">E100/12*5</f>
        <v>20558835</v>
      </c>
      <c r="I100" s="45">
        <f t="shared" si="1"/>
        <v>7201518.2300000004</v>
      </c>
      <c r="J100" s="125">
        <f t="shared" si="2"/>
        <v>0.35028824493216665</v>
      </c>
      <c r="K100" s="745">
        <f>E100</f>
        <v>49341204</v>
      </c>
    </row>
    <row r="101" spans="1:11" ht="12.75" customHeight="1" x14ac:dyDescent="0.2">
      <c r="A101" s="583" t="s">
        <v>1324</v>
      </c>
      <c r="B101" s="170"/>
      <c r="C101" s="758"/>
      <c r="D101" s="763">
        <v>0</v>
      </c>
      <c r="E101" s="743">
        <v>0</v>
      </c>
      <c r="F101" s="743">
        <v>0</v>
      </c>
      <c r="G101" s="743">
        <v>0</v>
      </c>
      <c r="H101" s="743">
        <f t="shared" si="27"/>
        <v>0</v>
      </c>
      <c r="I101" s="45">
        <f>H101-G101</f>
        <v>0</v>
      </c>
      <c r="J101" s="125" t="str">
        <f>IF(I101=0,"",I101/H101)</f>
        <v/>
      </c>
      <c r="K101" s="745">
        <f>D101</f>
        <v>0</v>
      </c>
    </row>
    <row r="102" spans="1:11" ht="12.75" customHeight="1" x14ac:dyDescent="0.2">
      <c r="A102" s="583" t="s">
        <v>1256</v>
      </c>
      <c r="B102" s="170"/>
      <c r="C102" s="758"/>
      <c r="D102" s="763">
        <v>0</v>
      </c>
      <c r="E102" s="743">
        <v>0</v>
      </c>
      <c r="F102" s="743">
        <v>0</v>
      </c>
      <c r="G102" s="743">
        <v>0</v>
      </c>
      <c r="H102" s="743">
        <f t="shared" si="27"/>
        <v>0</v>
      </c>
      <c r="I102" s="45">
        <f t="shared" si="1"/>
        <v>0</v>
      </c>
      <c r="J102" s="125" t="str">
        <f t="shared" si="2"/>
        <v/>
      </c>
      <c r="K102" s="745">
        <f>D102</f>
        <v>0</v>
      </c>
    </row>
    <row r="103" spans="1:11" ht="12.75" customHeight="1" x14ac:dyDescent="0.2">
      <c r="A103" s="553" t="s">
        <v>690</v>
      </c>
      <c r="B103" s="170"/>
      <c r="C103" s="250">
        <f t="shared" ref="C103:H103" si="28">SUM(C104:C108)</f>
        <v>0</v>
      </c>
      <c r="D103" s="265">
        <f t="shared" si="28"/>
        <v>0</v>
      </c>
      <c r="E103" s="100">
        <f t="shared" si="28"/>
        <v>0</v>
      </c>
      <c r="F103" s="100">
        <f t="shared" si="28"/>
        <v>0</v>
      </c>
      <c r="G103" s="100">
        <f>SUM(G104:G108)</f>
        <v>0</v>
      </c>
      <c r="H103" s="100">
        <f t="shared" si="28"/>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E104</f>
        <v>0</v>
      </c>
      <c r="I104" s="45">
        <f t="shared" si="1"/>
        <v>0</v>
      </c>
      <c r="J104" s="125" t="str">
        <f t="shared" si="2"/>
        <v/>
      </c>
      <c r="K104" s="745">
        <f>E104</f>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f>D105</f>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f>D106</f>
        <v>0</v>
      </c>
    </row>
    <row r="107" spans="1:11" ht="12.75" customHeight="1" x14ac:dyDescent="0.2">
      <c r="A107" s="521" t="s">
        <v>1329</v>
      </c>
      <c r="B107" s="170"/>
      <c r="C107" s="796">
        <v>0</v>
      </c>
      <c r="D107" s="763">
        <v>0</v>
      </c>
      <c r="E107" s="743">
        <v>0</v>
      </c>
      <c r="F107" s="743">
        <v>0</v>
      </c>
      <c r="G107" s="743">
        <v>0</v>
      </c>
      <c r="H107" s="743">
        <f>D107/12*7</f>
        <v>0</v>
      </c>
      <c r="I107" s="45">
        <f>H107-G107</f>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H108-G108</f>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9">+C111+C114</f>
        <v>0</v>
      </c>
      <c r="D110" s="586">
        <f t="shared" si="29"/>
        <v>0</v>
      </c>
      <c r="E110" s="587">
        <f t="shared" si="29"/>
        <v>0</v>
      </c>
      <c r="F110" s="587">
        <f t="shared" si="29"/>
        <v>0</v>
      </c>
      <c r="G110" s="587">
        <f t="shared" si="29"/>
        <v>0</v>
      </c>
      <c r="H110" s="587">
        <f t="shared" si="29"/>
        <v>0</v>
      </c>
      <c r="I110" s="100">
        <f t="shared" si="1"/>
        <v>0</v>
      </c>
      <c r="J110" s="327" t="str">
        <f t="shared" si="2"/>
        <v/>
      </c>
      <c r="K110" s="589">
        <f>+K111+K114</f>
        <v>0</v>
      </c>
    </row>
    <row r="111" spans="1:11" ht="12.75" customHeight="1" x14ac:dyDescent="0.2">
      <c r="A111" s="521" t="s">
        <v>1331</v>
      </c>
      <c r="B111" s="170"/>
      <c r="C111" s="657">
        <f t="shared" ref="C111:H111" si="30">SUM(C112:C113)</f>
        <v>0</v>
      </c>
      <c r="D111" s="658">
        <f t="shared" si="30"/>
        <v>0</v>
      </c>
      <c r="E111" s="411">
        <f t="shared" si="30"/>
        <v>0</v>
      </c>
      <c r="F111" s="411">
        <f t="shared" si="30"/>
        <v>0</v>
      </c>
      <c r="G111" s="411">
        <f t="shared" si="30"/>
        <v>0</v>
      </c>
      <c r="H111" s="411">
        <f t="shared" si="30"/>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31">SUM(C115:C116)</f>
        <v>0</v>
      </c>
      <c r="D114" s="658">
        <f t="shared" si="31"/>
        <v>0</v>
      </c>
      <c r="E114" s="411">
        <f t="shared" si="31"/>
        <v>0</v>
      </c>
      <c r="F114" s="411">
        <f t="shared" si="31"/>
        <v>0</v>
      </c>
      <c r="G114" s="411">
        <f t="shared" si="31"/>
        <v>0</v>
      </c>
      <c r="H114" s="411">
        <f t="shared" si="31"/>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32">+C118+C130</f>
        <v>162537139</v>
      </c>
      <c r="D117" s="586">
        <f t="shared" si="32"/>
        <v>56592200</v>
      </c>
      <c r="E117" s="587">
        <f t="shared" si="32"/>
        <v>56459308</v>
      </c>
      <c r="F117" s="587">
        <f t="shared" si="32"/>
        <v>1644253.9900000002</v>
      </c>
      <c r="G117" s="587">
        <f t="shared" si="32"/>
        <v>20361785.43</v>
      </c>
      <c r="H117" s="587">
        <f t="shared" si="32"/>
        <v>23524711.666666664</v>
      </c>
      <c r="I117" s="587">
        <f t="shared" si="1"/>
        <v>3162926.2366666645</v>
      </c>
      <c r="J117" s="588">
        <f t="shared" si="2"/>
        <v>0.13445122225019115</v>
      </c>
      <c r="K117" s="589">
        <f>+K118+K130</f>
        <v>56459308</v>
      </c>
    </row>
    <row r="118" spans="1:11" ht="12.75" customHeight="1" x14ac:dyDescent="0.2">
      <c r="A118" s="521" t="s">
        <v>1335</v>
      </c>
      <c r="B118" s="170"/>
      <c r="C118" s="657">
        <f t="shared" ref="C118:H118" si="33">SUM(C119:C129)</f>
        <v>162537139</v>
      </c>
      <c r="D118" s="658">
        <f t="shared" si="33"/>
        <v>56592200</v>
      </c>
      <c r="E118" s="411">
        <f t="shared" si="33"/>
        <v>56459308</v>
      </c>
      <c r="F118" s="411">
        <f t="shared" si="33"/>
        <v>1644253.9900000002</v>
      </c>
      <c r="G118" s="411">
        <f t="shared" si="33"/>
        <v>20361785.43</v>
      </c>
      <c r="H118" s="411">
        <f t="shared" si="33"/>
        <v>23524711.666666664</v>
      </c>
      <c r="I118" s="259">
        <f t="shared" si="1"/>
        <v>3162926.2366666645</v>
      </c>
      <c r="J118" s="584">
        <f t="shared" si="2"/>
        <v>0.13445122225019115</v>
      </c>
      <c r="K118" s="651">
        <f>SUM(K119:K129)</f>
        <v>56459308</v>
      </c>
    </row>
    <row r="119" spans="1:11" ht="12.75" customHeight="1" x14ac:dyDescent="0.2">
      <c r="A119" s="583" t="s">
        <v>1336</v>
      </c>
      <c r="B119" s="170"/>
      <c r="C119" s="758">
        <v>33865757</v>
      </c>
      <c r="D119" s="755">
        <v>56592200</v>
      </c>
      <c r="E119" s="743">
        <v>56459308</v>
      </c>
      <c r="F119" s="743">
        <v>1644253.9900000002</v>
      </c>
      <c r="G119" s="743">
        <v>20361785.43</v>
      </c>
      <c r="H119" s="755">
        <f>E119/12*5</f>
        <v>23524711.666666664</v>
      </c>
      <c r="I119" s="45">
        <f t="shared" si="1"/>
        <v>3162926.2366666645</v>
      </c>
      <c r="J119" s="125">
        <f t="shared" si="2"/>
        <v>0.13445122225019115</v>
      </c>
      <c r="K119" s="745">
        <f>E119</f>
        <v>56459308</v>
      </c>
    </row>
    <row r="120" spans="1:11" ht="12.75" customHeight="1" x14ac:dyDescent="0.2">
      <c r="A120" s="583" t="s">
        <v>1337</v>
      </c>
      <c r="B120" s="170"/>
      <c r="C120" s="758">
        <v>0</v>
      </c>
      <c r="D120" s="763">
        <v>0</v>
      </c>
      <c r="E120" s="743">
        <v>0</v>
      </c>
      <c r="F120" s="743">
        <v>0</v>
      </c>
      <c r="G120" s="743">
        <v>0</v>
      </c>
      <c r="H120" s="743">
        <f t="shared" ref="H120:H128" si="34">E120/12*10</f>
        <v>0</v>
      </c>
      <c r="I120" s="45">
        <f t="shared" si="1"/>
        <v>0</v>
      </c>
      <c r="J120" s="125" t="str">
        <f t="shared" si="2"/>
        <v/>
      </c>
      <c r="K120" s="745">
        <f t="shared" ref="K120:K128" si="35">D120</f>
        <v>0</v>
      </c>
    </row>
    <row r="121" spans="1:11" ht="12.75" customHeight="1" x14ac:dyDescent="0.2">
      <c r="A121" s="583" t="s">
        <v>1338</v>
      </c>
      <c r="B121" s="170"/>
      <c r="C121" s="758">
        <v>0</v>
      </c>
      <c r="D121" s="763">
        <v>0</v>
      </c>
      <c r="E121" s="743">
        <v>0</v>
      </c>
      <c r="F121" s="743">
        <v>0</v>
      </c>
      <c r="G121" s="743">
        <v>0</v>
      </c>
      <c r="H121" s="743">
        <f t="shared" si="34"/>
        <v>0</v>
      </c>
      <c r="I121" s="45">
        <f t="shared" si="1"/>
        <v>0</v>
      </c>
      <c r="J121" s="125" t="str">
        <f t="shared" si="2"/>
        <v/>
      </c>
      <c r="K121" s="745">
        <f t="shared" si="35"/>
        <v>0</v>
      </c>
    </row>
    <row r="122" spans="1:11" ht="12.75" customHeight="1" x14ac:dyDescent="0.2">
      <c r="A122" s="583" t="s">
        <v>1339</v>
      </c>
      <c r="B122" s="170"/>
      <c r="C122" s="758">
        <v>0</v>
      </c>
      <c r="D122" s="763">
        <v>0</v>
      </c>
      <c r="E122" s="743">
        <v>0</v>
      </c>
      <c r="F122" s="743">
        <v>0</v>
      </c>
      <c r="G122" s="743">
        <v>0</v>
      </c>
      <c r="H122" s="743">
        <f t="shared" si="34"/>
        <v>0</v>
      </c>
      <c r="I122" s="45">
        <f t="shared" si="1"/>
        <v>0</v>
      </c>
      <c r="J122" s="125" t="str">
        <f t="shared" si="2"/>
        <v/>
      </c>
      <c r="K122" s="745">
        <f t="shared" si="35"/>
        <v>0</v>
      </c>
    </row>
    <row r="123" spans="1:11" ht="12.75" customHeight="1" x14ac:dyDescent="0.2">
      <c r="A123" s="583" t="s">
        <v>1340</v>
      </c>
      <c r="B123" s="170"/>
      <c r="C123" s="758">
        <v>0</v>
      </c>
      <c r="D123" s="763">
        <v>0</v>
      </c>
      <c r="E123" s="743">
        <v>0</v>
      </c>
      <c r="F123" s="743">
        <v>0</v>
      </c>
      <c r="G123" s="743">
        <v>0</v>
      </c>
      <c r="H123" s="743">
        <f t="shared" si="34"/>
        <v>0</v>
      </c>
      <c r="I123" s="45">
        <f t="shared" si="1"/>
        <v>0</v>
      </c>
      <c r="J123" s="125" t="str">
        <f t="shared" si="2"/>
        <v/>
      </c>
      <c r="K123" s="745">
        <f t="shared" si="35"/>
        <v>0</v>
      </c>
    </row>
    <row r="124" spans="1:11" ht="12.75" customHeight="1" x14ac:dyDescent="0.2">
      <c r="A124" s="583" t="s">
        <v>1341</v>
      </c>
      <c r="B124" s="170"/>
      <c r="C124" s="758">
        <v>0</v>
      </c>
      <c r="D124" s="763">
        <v>0</v>
      </c>
      <c r="E124" s="743">
        <v>0</v>
      </c>
      <c r="F124" s="743">
        <v>0</v>
      </c>
      <c r="G124" s="743">
        <v>0</v>
      </c>
      <c r="H124" s="743">
        <f t="shared" si="34"/>
        <v>0</v>
      </c>
      <c r="I124" s="45">
        <f t="shared" si="1"/>
        <v>0</v>
      </c>
      <c r="J124" s="125" t="str">
        <f t="shared" si="2"/>
        <v/>
      </c>
      <c r="K124" s="745">
        <f t="shared" si="35"/>
        <v>0</v>
      </c>
    </row>
    <row r="125" spans="1:11" ht="12.75" customHeight="1" x14ac:dyDescent="0.2">
      <c r="A125" s="583" t="s">
        <v>1342</v>
      </c>
      <c r="B125" s="170"/>
      <c r="C125" s="758">
        <v>0</v>
      </c>
      <c r="D125" s="763">
        <v>0</v>
      </c>
      <c r="E125" s="743">
        <v>0</v>
      </c>
      <c r="F125" s="743">
        <v>0</v>
      </c>
      <c r="G125" s="743">
        <v>0</v>
      </c>
      <c r="H125" s="743">
        <f t="shared" si="34"/>
        <v>0</v>
      </c>
      <c r="I125" s="45">
        <f t="shared" si="1"/>
        <v>0</v>
      </c>
      <c r="J125" s="125" t="str">
        <f t="shared" si="2"/>
        <v/>
      </c>
      <c r="K125" s="745">
        <f t="shared" si="35"/>
        <v>0</v>
      </c>
    </row>
    <row r="126" spans="1:11" ht="12.75" customHeight="1" x14ac:dyDescent="0.2">
      <c r="A126" s="583" t="s">
        <v>1343</v>
      </c>
      <c r="B126" s="170"/>
      <c r="C126" s="758">
        <v>0</v>
      </c>
      <c r="D126" s="763">
        <v>0</v>
      </c>
      <c r="E126" s="743">
        <v>0</v>
      </c>
      <c r="F126" s="743">
        <v>0</v>
      </c>
      <c r="G126" s="743">
        <v>0</v>
      </c>
      <c r="H126" s="743">
        <f t="shared" si="34"/>
        <v>0</v>
      </c>
      <c r="I126" s="45">
        <f t="shared" si="1"/>
        <v>0</v>
      </c>
      <c r="J126" s="125" t="str">
        <f t="shared" si="2"/>
        <v/>
      </c>
      <c r="K126" s="745">
        <f t="shared" si="35"/>
        <v>0</v>
      </c>
    </row>
    <row r="127" spans="1:11" ht="12.75" customHeight="1" x14ac:dyDescent="0.2">
      <c r="A127" s="583" t="s">
        <v>1344</v>
      </c>
      <c r="B127" s="170"/>
      <c r="C127" s="758">
        <v>0</v>
      </c>
      <c r="D127" s="763">
        <v>0</v>
      </c>
      <c r="E127" s="743">
        <v>0</v>
      </c>
      <c r="F127" s="743">
        <v>0</v>
      </c>
      <c r="G127" s="743">
        <v>0</v>
      </c>
      <c r="H127" s="743">
        <f t="shared" si="34"/>
        <v>0</v>
      </c>
      <c r="I127" s="45">
        <f t="shared" si="1"/>
        <v>0</v>
      </c>
      <c r="J127" s="125" t="str">
        <f t="shared" si="2"/>
        <v/>
      </c>
      <c r="K127" s="745">
        <f t="shared" si="35"/>
        <v>0</v>
      </c>
    </row>
    <row r="128" spans="1:11" ht="12.75" customHeight="1" x14ac:dyDescent="0.2">
      <c r="A128" s="583" t="s">
        <v>1345</v>
      </c>
      <c r="B128" s="170"/>
      <c r="C128" s="758">
        <v>0</v>
      </c>
      <c r="D128" s="763">
        <v>0</v>
      </c>
      <c r="E128" s="743">
        <v>0</v>
      </c>
      <c r="F128" s="743">
        <v>0</v>
      </c>
      <c r="G128" s="743">
        <v>0</v>
      </c>
      <c r="H128" s="743">
        <f t="shared" si="34"/>
        <v>0</v>
      </c>
      <c r="I128" s="45">
        <f t="shared" si="1"/>
        <v>0</v>
      </c>
      <c r="J128" s="125" t="str">
        <f t="shared" si="2"/>
        <v/>
      </c>
      <c r="K128" s="745">
        <f t="shared" si="35"/>
        <v>0</v>
      </c>
    </row>
    <row r="129" spans="1:11" ht="12.75" customHeight="1" x14ac:dyDescent="0.2">
      <c r="A129" s="583" t="s">
        <v>1256</v>
      </c>
      <c r="B129" s="170"/>
      <c r="C129" s="758">
        <v>128671382</v>
      </c>
      <c r="D129" s="763">
        <v>0</v>
      </c>
      <c r="E129" s="743">
        <v>0</v>
      </c>
      <c r="F129" s="743">
        <v>0</v>
      </c>
      <c r="G129" s="743">
        <v>0</v>
      </c>
      <c r="H129" s="743">
        <f>E129</f>
        <v>0</v>
      </c>
      <c r="I129" s="45">
        <f t="shared" si="1"/>
        <v>0</v>
      </c>
      <c r="J129" s="125" t="str">
        <f t="shared" si="2"/>
        <v/>
      </c>
      <c r="K129" s="745">
        <f>E129</f>
        <v>0</v>
      </c>
    </row>
    <row r="130" spans="1:11" ht="12.75" customHeight="1" x14ac:dyDescent="0.2">
      <c r="A130" s="521" t="s">
        <v>733</v>
      </c>
      <c r="B130" s="170"/>
      <c r="C130" s="657">
        <f t="shared" ref="C130:H130" si="36">SUM(C131:C133)</f>
        <v>0</v>
      </c>
      <c r="D130" s="658">
        <f t="shared" si="36"/>
        <v>0</v>
      </c>
      <c r="E130" s="411">
        <f t="shared" si="36"/>
        <v>0</v>
      </c>
      <c r="F130" s="411">
        <f t="shared" si="36"/>
        <v>0</v>
      </c>
      <c r="G130" s="411">
        <f t="shared" si="36"/>
        <v>0</v>
      </c>
      <c r="H130" s="411">
        <f t="shared" si="36"/>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7">SUM(C136:C136)</f>
        <v>0</v>
      </c>
      <c r="D135" s="586">
        <f t="shared" si="37"/>
        <v>0</v>
      </c>
      <c r="E135" s="587">
        <f t="shared" si="37"/>
        <v>0</v>
      </c>
      <c r="F135" s="587">
        <f t="shared" si="37"/>
        <v>0</v>
      </c>
      <c r="G135" s="587">
        <f t="shared" si="37"/>
        <v>0</v>
      </c>
      <c r="H135" s="587">
        <f t="shared" si="37"/>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8">IF(I137=0,"",I137/H137)</f>
        <v/>
      </c>
      <c r="K137" s="145"/>
    </row>
    <row r="138" spans="1:11" s="101" customFormat="1" ht="12.75" customHeight="1" x14ac:dyDescent="0.2">
      <c r="A138" s="553" t="s">
        <v>1349</v>
      </c>
      <c r="B138" s="172"/>
      <c r="C138" s="952">
        <f t="shared" ref="C138:H138" si="39">SUM(C139:C140)</f>
        <v>0</v>
      </c>
      <c r="D138" s="953">
        <f t="shared" si="39"/>
        <v>18000000</v>
      </c>
      <c r="E138" s="954">
        <f t="shared" si="39"/>
        <v>18000000</v>
      </c>
      <c r="F138" s="954">
        <f t="shared" si="39"/>
        <v>5816982.7599999998</v>
      </c>
      <c r="G138" s="954">
        <f t="shared" si="39"/>
        <v>7429926.4000000004</v>
      </c>
      <c r="H138" s="954">
        <f t="shared" si="39"/>
        <v>7500000</v>
      </c>
      <c r="I138" s="954">
        <f t="shared" ref="I138:I146" si="40">H138-G138</f>
        <v>70073.599999999627</v>
      </c>
      <c r="J138" s="327">
        <f t="shared" si="38"/>
        <v>9.3431466666666178E-3</v>
      </c>
      <c r="K138" s="955">
        <f>SUM(K139:K140)</f>
        <v>18000000</v>
      </c>
    </row>
    <row r="139" spans="1:11" ht="12.75" customHeight="1" x14ac:dyDescent="0.2">
      <c r="A139" s="520" t="s">
        <v>1350</v>
      </c>
      <c r="B139" s="170"/>
      <c r="C139" s="758"/>
      <c r="D139" s="763"/>
      <c r="E139" s="743"/>
      <c r="F139" s="743"/>
      <c r="G139" s="743"/>
      <c r="H139" s="743"/>
      <c r="I139" s="45">
        <f t="shared" si="40"/>
        <v>0</v>
      </c>
      <c r="J139" s="125" t="str">
        <f t="shared" si="38"/>
        <v/>
      </c>
      <c r="K139" s="745"/>
    </row>
    <row r="140" spans="1:11" ht="12.75" customHeight="1" x14ac:dyDescent="0.2">
      <c r="A140" s="520" t="s">
        <v>1351</v>
      </c>
      <c r="B140" s="170"/>
      <c r="C140" s="657">
        <f t="shared" ref="C140:H140" si="41">SUM(C141:C146)</f>
        <v>0</v>
      </c>
      <c r="D140" s="658">
        <f t="shared" si="41"/>
        <v>18000000</v>
      </c>
      <c r="E140" s="411">
        <f t="shared" si="41"/>
        <v>18000000</v>
      </c>
      <c r="F140" s="411">
        <f t="shared" si="41"/>
        <v>5816982.7599999998</v>
      </c>
      <c r="G140" s="411">
        <f t="shared" si="41"/>
        <v>7429926.4000000004</v>
      </c>
      <c r="H140" s="411">
        <f t="shared" si="41"/>
        <v>7500000</v>
      </c>
      <c r="I140" s="259">
        <f t="shared" si="40"/>
        <v>70073.599999999627</v>
      </c>
      <c r="J140" s="584">
        <f t="shared" si="38"/>
        <v>9.3431466666666178E-3</v>
      </c>
      <c r="K140" s="651">
        <f>SUM(K141:K146)</f>
        <v>18000000</v>
      </c>
    </row>
    <row r="141" spans="1:11" ht="12.75" customHeight="1" x14ac:dyDescent="0.2">
      <c r="A141" s="583" t="s">
        <v>1352</v>
      </c>
      <c r="B141" s="170"/>
      <c r="C141" s="758">
        <v>0</v>
      </c>
      <c r="D141" s="763">
        <v>0</v>
      </c>
      <c r="E141" s="743">
        <v>0</v>
      </c>
      <c r="F141" s="743">
        <v>0</v>
      </c>
      <c r="G141" s="743">
        <v>0</v>
      </c>
      <c r="H141" s="743">
        <f t="shared" ref="H141:H146" si="42">E141/12*5</f>
        <v>0</v>
      </c>
      <c r="I141" s="45">
        <f t="shared" si="40"/>
        <v>0</v>
      </c>
      <c r="J141" s="125" t="str">
        <f t="shared" si="38"/>
        <v/>
      </c>
      <c r="K141" s="745">
        <f t="shared" ref="K141:K146" si="43">D141</f>
        <v>0</v>
      </c>
    </row>
    <row r="142" spans="1:11" ht="12.75" customHeight="1" x14ac:dyDescent="0.2">
      <c r="A142" s="583" t="s">
        <v>1353</v>
      </c>
      <c r="B142" s="170"/>
      <c r="C142" s="758">
        <v>0</v>
      </c>
      <c r="D142" s="763">
        <v>0</v>
      </c>
      <c r="E142" s="743">
        <v>0</v>
      </c>
      <c r="F142" s="743">
        <v>0</v>
      </c>
      <c r="G142" s="743">
        <v>0</v>
      </c>
      <c r="H142" s="743">
        <f t="shared" si="42"/>
        <v>0</v>
      </c>
      <c r="I142" s="45">
        <f t="shared" si="40"/>
        <v>0</v>
      </c>
      <c r="J142" s="125" t="str">
        <f t="shared" si="38"/>
        <v/>
      </c>
      <c r="K142" s="745">
        <f t="shared" si="43"/>
        <v>0</v>
      </c>
    </row>
    <row r="143" spans="1:11" ht="12.75" customHeight="1" x14ac:dyDescent="0.2">
      <c r="A143" s="583" t="s">
        <v>1354</v>
      </c>
      <c r="B143" s="170"/>
      <c r="C143" s="758">
        <v>0</v>
      </c>
      <c r="D143" s="763">
        <v>0</v>
      </c>
      <c r="E143" s="743">
        <v>0</v>
      </c>
      <c r="F143" s="743">
        <v>0</v>
      </c>
      <c r="G143" s="743">
        <v>0</v>
      </c>
      <c r="H143" s="743">
        <f t="shared" si="42"/>
        <v>0</v>
      </c>
      <c r="I143" s="45">
        <f t="shared" si="40"/>
        <v>0</v>
      </c>
      <c r="J143" s="125" t="str">
        <f t="shared" si="38"/>
        <v/>
      </c>
      <c r="K143" s="745">
        <f t="shared" si="43"/>
        <v>0</v>
      </c>
    </row>
    <row r="144" spans="1:11" ht="12.75" customHeight="1" x14ac:dyDescent="0.2">
      <c r="A144" s="583" t="s">
        <v>1355</v>
      </c>
      <c r="B144" s="170"/>
      <c r="C144" s="758">
        <v>0</v>
      </c>
      <c r="D144" s="755">
        <v>18000000</v>
      </c>
      <c r="E144" s="743">
        <v>18000000</v>
      </c>
      <c r="F144" s="743">
        <v>5816982.7599999998</v>
      </c>
      <c r="G144" s="743">
        <v>7429926.4000000004</v>
      </c>
      <c r="H144" s="755">
        <f t="shared" si="42"/>
        <v>7500000</v>
      </c>
      <c r="I144" s="45">
        <f t="shared" si="40"/>
        <v>70073.599999999627</v>
      </c>
      <c r="J144" s="125">
        <f t="shared" si="38"/>
        <v>9.3431466666666178E-3</v>
      </c>
      <c r="K144" s="745">
        <f>E144</f>
        <v>18000000</v>
      </c>
    </row>
    <row r="145" spans="1:12" ht="12.75" customHeight="1" x14ac:dyDescent="0.2">
      <c r="A145" s="583" t="s">
        <v>1356</v>
      </c>
      <c r="B145" s="170"/>
      <c r="C145" s="758">
        <v>0</v>
      </c>
      <c r="D145" s="763">
        <v>0</v>
      </c>
      <c r="E145" s="743">
        <v>0</v>
      </c>
      <c r="F145" s="743">
        <v>0</v>
      </c>
      <c r="G145" s="743">
        <v>0</v>
      </c>
      <c r="H145" s="743">
        <f t="shared" si="42"/>
        <v>0</v>
      </c>
      <c r="I145" s="45">
        <f t="shared" si="40"/>
        <v>0</v>
      </c>
      <c r="J145" s="125" t="str">
        <f t="shared" si="38"/>
        <v/>
      </c>
      <c r="K145" s="745">
        <f t="shared" si="43"/>
        <v>0</v>
      </c>
    </row>
    <row r="146" spans="1:12" ht="12.75" customHeight="1" x14ac:dyDescent="0.2">
      <c r="A146" s="583" t="s">
        <v>1357</v>
      </c>
      <c r="B146" s="170"/>
      <c r="C146" s="758">
        <v>0</v>
      </c>
      <c r="D146" s="763">
        <v>0</v>
      </c>
      <c r="E146" s="743">
        <v>0</v>
      </c>
      <c r="F146" s="743">
        <v>0</v>
      </c>
      <c r="G146" s="743">
        <v>0</v>
      </c>
      <c r="H146" s="743">
        <f t="shared" si="42"/>
        <v>0</v>
      </c>
      <c r="I146" s="45">
        <f t="shared" si="40"/>
        <v>0</v>
      </c>
      <c r="J146" s="125" t="str">
        <f t="shared" si="38"/>
        <v/>
      </c>
      <c r="K146" s="745">
        <f t="shared" si="43"/>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4">SUM(C149:C149)</f>
        <v>0</v>
      </c>
      <c r="D148" s="586">
        <f>SUM(D149:D149)</f>
        <v>6000000</v>
      </c>
      <c r="E148" s="587">
        <f t="shared" si="44"/>
        <v>6000000</v>
      </c>
      <c r="F148" s="587">
        <f>SUM(F149:F149)</f>
        <v>400551.52</v>
      </c>
      <c r="G148" s="587">
        <f t="shared" si="44"/>
        <v>2079812.75</v>
      </c>
      <c r="H148" s="587">
        <f t="shared" si="44"/>
        <v>2500000</v>
      </c>
      <c r="I148" s="587">
        <f>H148-G148</f>
        <v>420187.25</v>
      </c>
      <c r="J148" s="327">
        <f>IF(I148=0,"",I148/H148)</f>
        <v>0.1680749</v>
      </c>
      <c r="K148" s="589">
        <f>SUM(K149)</f>
        <v>6000000</v>
      </c>
    </row>
    <row r="149" spans="1:12" ht="12.75" customHeight="1" x14ac:dyDescent="0.2">
      <c r="A149" s="521" t="s">
        <v>1358</v>
      </c>
      <c r="B149" s="170"/>
      <c r="C149" s="758"/>
      <c r="D149" s="755">
        <v>6000000</v>
      </c>
      <c r="E149" s="743">
        <v>6000000</v>
      </c>
      <c r="F149" s="743">
        <v>400551.52</v>
      </c>
      <c r="G149" s="743">
        <v>2079812.75</v>
      </c>
      <c r="H149" s="755">
        <f>E149/12*5</f>
        <v>2500000</v>
      </c>
      <c r="I149" s="45">
        <f>H149-G149</f>
        <v>420187.25</v>
      </c>
      <c r="J149" s="125">
        <f>IF(I149=0,"",I149/H149)</f>
        <v>0.1680749</v>
      </c>
      <c r="K149" s="745">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5">SUM(C152:C152)</f>
        <v>0</v>
      </c>
      <c r="D151" s="586">
        <f t="shared" si="45"/>
        <v>12390000</v>
      </c>
      <c r="E151" s="587">
        <f t="shared" si="45"/>
        <v>12390000</v>
      </c>
      <c r="F151" s="587">
        <f t="shared" si="45"/>
        <v>1431858.72</v>
      </c>
      <c r="G151" s="587">
        <f t="shared" si="45"/>
        <v>6293730.3799999999</v>
      </c>
      <c r="H151" s="587">
        <f t="shared" si="45"/>
        <v>5162500</v>
      </c>
      <c r="I151" s="587">
        <f>H151-G151</f>
        <v>-1131230.3799999999</v>
      </c>
      <c r="J151" s="327">
        <f>IF(I151=0,"",I151/H151)</f>
        <v>-0.21912452881355929</v>
      </c>
      <c r="K151" s="589">
        <f>SUM(K152)</f>
        <v>12390000</v>
      </c>
    </row>
    <row r="152" spans="1:12" ht="12.75" customHeight="1" x14ac:dyDescent="0.2">
      <c r="A152" s="521" t="s">
        <v>1359</v>
      </c>
      <c r="B152" s="170"/>
      <c r="C152" s="758"/>
      <c r="D152" s="755">
        <v>12390000</v>
      </c>
      <c r="E152" s="743">
        <v>12390000</v>
      </c>
      <c r="F152" s="743">
        <v>1431858.72</v>
      </c>
      <c r="G152" s="743">
        <v>6293730.3799999999</v>
      </c>
      <c r="H152" s="755">
        <f>E152/12*5</f>
        <v>5162500</v>
      </c>
      <c r="I152" s="45">
        <f>H152-G152</f>
        <v>-1131230.3799999999</v>
      </c>
      <c r="J152" s="125">
        <f>IF(I152=0,"",I152/H152)</f>
        <v>-0.21912452881355929</v>
      </c>
      <c r="K152" s="745">
        <f>E152</f>
        <v>12390000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6">SUM(C155:C155)</f>
        <v>0</v>
      </c>
      <c r="D154" s="586">
        <f t="shared" si="46"/>
        <v>569292</v>
      </c>
      <c r="E154" s="587">
        <f t="shared" si="46"/>
        <v>569292</v>
      </c>
      <c r="F154" s="587">
        <f t="shared" si="46"/>
        <v>50361.64</v>
      </c>
      <c r="G154" s="587">
        <f t="shared" si="46"/>
        <v>142555.76999999999</v>
      </c>
      <c r="H154" s="587">
        <f t="shared" si="46"/>
        <v>237205</v>
      </c>
      <c r="I154" s="587">
        <f>H154-G154</f>
        <v>94649.23000000001</v>
      </c>
      <c r="J154" s="327">
        <f>IF(I154=0,"",I154/H154)</f>
        <v>0.39901869690773806</v>
      </c>
      <c r="K154" s="589">
        <f>SUM(K155)</f>
        <v>569292</v>
      </c>
    </row>
    <row r="155" spans="1:12" ht="12.75" customHeight="1" x14ac:dyDescent="0.2">
      <c r="A155" s="521" t="s">
        <v>1360</v>
      </c>
      <c r="B155" s="170"/>
      <c r="C155" s="758"/>
      <c r="D155" s="755">
        <v>569292</v>
      </c>
      <c r="E155" s="743">
        <v>569292</v>
      </c>
      <c r="F155" s="743">
        <v>50361.64</v>
      </c>
      <c r="G155" s="743">
        <v>142555.76999999999</v>
      </c>
      <c r="H155" s="755">
        <f>E155/12*5</f>
        <v>237205</v>
      </c>
      <c r="I155" s="45">
        <f>H155-G155</f>
        <v>94649.23000000001</v>
      </c>
      <c r="J155" s="125">
        <f>IF(I155=0,"",I155/H155)</f>
        <v>0.39901869690773806</v>
      </c>
      <c r="K155" s="745">
        <f>E155</f>
        <v>569292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7">SUM(C158:C158)</f>
        <v>0</v>
      </c>
      <c r="D157" s="586">
        <f t="shared" si="47"/>
        <v>36148608</v>
      </c>
      <c r="E157" s="587">
        <f t="shared" si="47"/>
        <v>35998608</v>
      </c>
      <c r="F157" s="587">
        <f t="shared" si="47"/>
        <v>171678.03</v>
      </c>
      <c r="G157" s="587">
        <f t="shared" si="47"/>
        <v>9785332.4199999999</v>
      </c>
      <c r="H157" s="587">
        <f t="shared" si="47"/>
        <v>14999420</v>
      </c>
      <c r="I157" s="587">
        <f>H157-G157</f>
        <v>5214087.58</v>
      </c>
      <c r="J157" s="327">
        <f>IF(I157=0,"",I157/H157)</f>
        <v>0.34761927994549124</v>
      </c>
      <c r="K157" s="589">
        <f>SUM(K158)</f>
        <v>35998608</v>
      </c>
    </row>
    <row r="158" spans="1:12" ht="12.75" customHeight="1" x14ac:dyDescent="0.2">
      <c r="A158" s="521" t="s">
        <v>1361</v>
      </c>
      <c r="B158" s="170"/>
      <c r="C158" s="758"/>
      <c r="D158" s="755">
        <v>36148608</v>
      </c>
      <c r="E158" s="743">
        <v>35998608</v>
      </c>
      <c r="F158" s="743">
        <v>171678.03</v>
      </c>
      <c r="G158" s="743">
        <v>9785332.4199999999</v>
      </c>
      <c r="H158" s="755">
        <f>E158/12*5</f>
        <v>14999420</v>
      </c>
      <c r="I158" s="45">
        <f>H158-G158</f>
        <v>5214087.58</v>
      </c>
      <c r="J158" s="125">
        <f>IF(I158=0,"",I158/H158)</f>
        <v>0.34761927994549124</v>
      </c>
      <c r="K158" s="745">
        <f>E158</f>
        <v>35998608</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8">SUM(C161:C161)</f>
        <v>0</v>
      </c>
      <c r="D160" s="586">
        <f t="shared" si="48"/>
        <v>0</v>
      </c>
      <c r="E160" s="587">
        <f t="shared" si="48"/>
        <v>0</v>
      </c>
      <c r="F160" s="587">
        <f t="shared" si="48"/>
        <v>0</v>
      </c>
      <c r="G160" s="587">
        <f t="shared" si="48"/>
        <v>0</v>
      </c>
      <c r="H160" s="587">
        <f t="shared" si="48"/>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49">SUM(C164:C164)</f>
        <v>0</v>
      </c>
      <c r="D163" s="586">
        <f t="shared" si="49"/>
        <v>0</v>
      </c>
      <c r="E163" s="587">
        <f t="shared" si="49"/>
        <v>0</v>
      </c>
      <c r="F163" s="587">
        <f t="shared" si="49"/>
        <v>0</v>
      </c>
      <c r="G163" s="587">
        <f t="shared" si="49"/>
        <v>0</v>
      </c>
      <c r="H163" s="587">
        <f t="shared" si="49"/>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909</v>
      </c>
      <c r="B166" s="237">
        <v>1</v>
      </c>
      <c r="C166" s="113">
        <f t="shared" ref="C166:H166" si="50">C7+C75+C103+C110+C117+C135+C138+C148+C151+C154+C157+C160+C163</f>
        <v>289039668</v>
      </c>
      <c r="D166" s="272">
        <f t="shared" si="50"/>
        <v>598520288</v>
      </c>
      <c r="E166" s="56">
        <f t="shared" si="50"/>
        <v>633488108</v>
      </c>
      <c r="F166" s="56">
        <f t="shared" si="50"/>
        <v>36342510.770000003</v>
      </c>
      <c r="G166" s="56">
        <f t="shared" si="50"/>
        <v>161976940.89999998</v>
      </c>
      <c r="H166" s="56">
        <f t="shared" si="50"/>
        <v>263953378.33333334</v>
      </c>
      <c r="I166" s="56">
        <f t="shared" si="1"/>
        <v>101976437.43333337</v>
      </c>
      <c r="J166" s="293">
        <f t="shared" si="2"/>
        <v>0.38634261124914449</v>
      </c>
      <c r="K166" s="236">
        <f>K7+K75+K103+K110+K117+K135+K138+K148+K151+K154+K157+K160+K163</f>
        <v>633487700</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9"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7" activePane="bottomRight" state="frozen"/>
      <selection pane="topRight"/>
      <selection pane="bottomLeft"/>
      <selection pane="bottomRight" activeCell="L163" sqref="L163"/>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"&amp;S71Sd&amp; " - "&amp;Head57</f>
        <v>LIM354 Polokwane - Supporting Table SC13d Monthly Budget Statement - depreciation by asset class - M05 November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1093</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116618171.3104421</v>
      </c>
      <c r="D7" s="611">
        <f t="shared" si="0"/>
        <v>123617000</v>
      </c>
      <c r="E7" s="103">
        <f t="shared" si="0"/>
        <v>0</v>
      </c>
      <c r="F7" s="103">
        <f t="shared" si="0"/>
        <v>10301416.666666666</v>
      </c>
      <c r="G7" s="103">
        <f t="shared" si="0"/>
        <v>41205666.666666664</v>
      </c>
      <c r="H7" s="103">
        <f t="shared" si="0"/>
        <v>41205666.666666664</v>
      </c>
      <c r="I7" s="102">
        <f t="shared" ref="I7:I166" si="1">H7-G7</f>
        <v>0</v>
      </c>
      <c r="J7" s="588" t="str">
        <f t="shared" ref="J7:J166" si="2">IF(I7=0,"",I7/H7)</f>
        <v/>
      </c>
      <c r="K7" s="612">
        <f>K8+K13+K17+K27+K38+K45+K53+K63+K69</f>
        <v>123617000</v>
      </c>
    </row>
    <row r="8" spans="1:11" ht="12.75" customHeight="1" x14ac:dyDescent="0.2">
      <c r="A8" s="521" t="s">
        <v>1253</v>
      </c>
      <c r="B8" s="170"/>
      <c r="C8" s="686">
        <f t="shared" ref="C8:H8" si="3">SUM(C9:C12)</f>
        <v>53578947.875910059</v>
      </c>
      <c r="D8" s="618">
        <f t="shared" si="3"/>
        <v>60579000</v>
      </c>
      <c r="E8" s="617">
        <f t="shared" si="3"/>
        <v>0</v>
      </c>
      <c r="F8" s="617">
        <f t="shared" si="3"/>
        <v>5048250</v>
      </c>
      <c r="G8" s="617">
        <f t="shared" si="3"/>
        <v>20193000</v>
      </c>
      <c r="H8" s="617">
        <f t="shared" si="3"/>
        <v>20193000</v>
      </c>
      <c r="I8" s="259">
        <f t="shared" si="1"/>
        <v>0</v>
      </c>
      <c r="J8" s="584" t="str">
        <f t="shared" si="2"/>
        <v/>
      </c>
      <c r="K8" s="619">
        <f>SUM(K9:K12)</f>
        <v>60579000</v>
      </c>
    </row>
    <row r="9" spans="1:11" ht="12.75" customHeight="1" x14ac:dyDescent="0.2">
      <c r="A9" s="583" t="s">
        <v>175</v>
      </c>
      <c r="B9" s="170"/>
      <c r="C9" s="758">
        <v>45516148.736055359</v>
      </c>
      <c r="D9" s="755">
        <v>52516000</v>
      </c>
      <c r="E9" s="743">
        <v>0</v>
      </c>
      <c r="F9" s="743">
        <f t="shared" ref="F9:F12" si="4">D9/12</f>
        <v>4376333.333333333</v>
      </c>
      <c r="G9" s="743">
        <f>H9</f>
        <v>17505333.333333332</v>
      </c>
      <c r="H9" s="743">
        <f>D9/12*4</f>
        <v>17505333.333333332</v>
      </c>
      <c r="I9" s="259">
        <f t="shared" si="1"/>
        <v>0</v>
      </c>
      <c r="J9" s="584" t="str">
        <f t="shared" si="2"/>
        <v/>
      </c>
      <c r="K9" s="745">
        <f>D9</f>
        <v>52516000</v>
      </c>
    </row>
    <row r="10" spans="1:11" ht="12.75" customHeight="1" x14ac:dyDescent="0.2">
      <c r="A10" s="583" t="s">
        <v>1254</v>
      </c>
      <c r="B10" s="170"/>
      <c r="C10" s="758">
        <v>7470028.0282234093</v>
      </c>
      <c r="D10" s="755">
        <v>7470000</v>
      </c>
      <c r="E10" s="743">
        <v>0</v>
      </c>
      <c r="F10" s="743">
        <f>D10/12</f>
        <v>622500</v>
      </c>
      <c r="G10" s="743">
        <f t="shared" ref="G10:G11" si="5">H10</f>
        <v>2490000</v>
      </c>
      <c r="H10" s="743">
        <f t="shared" ref="H10:H11" si="6">D10/12*4</f>
        <v>2490000</v>
      </c>
      <c r="I10" s="259">
        <f t="shared" si="1"/>
        <v>0</v>
      </c>
      <c r="J10" s="584" t="str">
        <f t="shared" si="2"/>
        <v/>
      </c>
      <c r="K10" s="745">
        <f>D10</f>
        <v>7470000</v>
      </c>
    </row>
    <row r="11" spans="1:11" ht="12.75" customHeight="1" x14ac:dyDescent="0.2">
      <c r="A11" s="583" t="s">
        <v>1255</v>
      </c>
      <c r="B11" s="170"/>
      <c r="C11" s="758">
        <v>592771.11163129122</v>
      </c>
      <c r="D11" s="755">
        <v>593000</v>
      </c>
      <c r="E11" s="743">
        <v>0</v>
      </c>
      <c r="F11" s="743">
        <f t="shared" si="4"/>
        <v>49416.666666666664</v>
      </c>
      <c r="G11" s="743">
        <f t="shared" si="5"/>
        <v>197666.66666666666</v>
      </c>
      <c r="H11" s="743">
        <f t="shared" si="6"/>
        <v>197666.66666666666</v>
      </c>
      <c r="I11" s="259">
        <f t="shared" si="1"/>
        <v>0</v>
      </c>
      <c r="J11" s="584" t="str">
        <f t="shared" si="2"/>
        <v/>
      </c>
      <c r="K11" s="745">
        <f>D11</f>
        <v>593000</v>
      </c>
    </row>
    <row r="12" spans="1:11" ht="12.75" customHeight="1" x14ac:dyDescent="0.2">
      <c r="A12" s="583" t="s">
        <v>1256</v>
      </c>
      <c r="B12" s="170"/>
      <c r="C12" s="758">
        <v>0</v>
      </c>
      <c r="D12" s="755"/>
      <c r="E12" s="743">
        <v>0</v>
      </c>
      <c r="F12" s="743">
        <f t="shared" si="4"/>
        <v>0</v>
      </c>
      <c r="G12" s="743">
        <f>H12</f>
        <v>0</v>
      </c>
      <c r="H12" s="743">
        <f t="shared" ref="H12" si="7">D12/12*3</f>
        <v>0</v>
      </c>
      <c r="I12" s="259">
        <f t="shared" si="1"/>
        <v>0</v>
      </c>
      <c r="J12" s="584" t="str">
        <f t="shared" si="2"/>
        <v/>
      </c>
      <c r="K12" s="745">
        <f>D12</f>
        <v>0</v>
      </c>
    </row>
    <row r="13" spans="1:11" ht="12.75" customHeight="1" x14ac:dyDescent="0.2">
      <c r="A13" s="521" t="s">
        <v>1257</v>
      </c>
      <c r="B13" s="170"/>
      <c r="C13" s="657">
        <f t="shared" ref="C13:H13" si="8">SUM(C14:C16)</f>
        <v>7893148.4379749699</v>
      </c>
      <c r="D13" s="658">
        <f t="shared" si="8"/>
        <v>7893000</v>
      </c>
      <c r="E13" s="411">
        <f t="shared" si="8"/>
        <v>0</v>
      </c>
      <c r="F13" s="411">
        <f t="shared" si="8"/>
        <v>657750</v>
      </c>
      <c r="G13" s="411">
        <f t="shared" si="8"/>
        <v>2631000</v>
      </c>
      <c r="H13" s="411">
        <f t="shared" si="8"/>
        <v>2631000</v>
      </c>
      <c r="I13" s="259">
        <f t="shared" si="1"/>
        <v>0</v>
      </c>
      <c r="J13" s="584" t="str">
        <f t="shared" si="2"/>
        <v/>
      </c>
      <c r="K13" s="651">
        <f>SUM(K14:K16)</f>
        <v>7893000</v>
      </c>
    </row>
    <row r="14" spans="1:11" ht="12.75" customHeight="1" x14ac:dyDescent="0.2">
      <c r="A14" s="583" t="s">
        <v>1258</v>
      </c>
      <c r="B14" s="170"/>
      <c r="C14" s="758"/>
      <c r="D14" s="755"/>
      <c r="E14" s="743">
        <v>0</v>
      </c>
      <c r="F14" s="743">
        <f>D14/12</f>
        <v>0</v>
      </c>
      <c r="G14" s="743">
        <f>F14*3</f>
        <v>0</v>
      </c>
      <c r="H14" s="743">
        <f t="shared" ref="H14:H16" si="9">D14/12*2</f>
        <v>0</v>
      </c>
      <c r="I14" s="259">
        <f t="shared" si="1"/>
        <v>0</v>
      </c>
      <c r="J14" s="584" t="str">
        <f t="shared" si="2"/>
        <v/>
      </c>
      <c r="K14" s="745">
        <f>D14</f>
        <v>0</v>
      </c>
    </row>
    <row r="15" spans="1:11" ht="12.75" customHeight="1" x14ac:dyDescent="0.2">
      <c r="A15" s="583" t="s">
        <v>1259</v>
      </c>
      <c r="B15" s="170"/>
      <c r="C15" s="758">
        <v>7893148.4379749699</v>
      </c>
      <c r="D15" s="755">
        <v>7893000</v>
      </c>
      <c r="E15" s="743">
        <v>0</v>
      </c>
      <c r="F15" s="743">
        <f t="shared" ref="F15:F43" si="10">D15/12</f>
        <v>657750</v>
      </c>
      <c r="G15" s="743">
        <f>H15</f>
        <v>2631000</v>
      </c>
      <c r="H15" s="743">
        <f>D15/12*4</f>
        <v>2631000</v>
      </c>
      <c r="I15" s="259">
        <f t="shared" si="1"/>
        <v>0</v>
      </c>
      <c r="J15" s="584" t="str">
        <f t="shared" si="2"/>
        <v/>
      </c>
      <c r="K15" s="745">
        <f>D15</f>
        <v>7893000</v>
      </c>
    </row>
    <row r="16" spans="1:11" ht="12.75" customHeight="1" x14ac:dyDescent="0.2">
      <c r="A16" s="583" t="s">
        <v>1260</v>
      </c>
      <c r="B16" s="170"/>
      <c r="C16" s="758"/>
      <c r="D16" s="755"/>
      <c r="E16" s="743">
        <v>0</v>
      </c>
      <c r="F16" s="743">
        <f t="shared" si="10"/>
        <v>0</v>
      </c>
      <c r="G16" s="743">
        <f>F16*3</f>
        <v>0</v>
      </c>
      <c r="H16" s="743">
        <f t="shared" si="9"/>
        <v>0</v>
      </c>
      <c r="I16" s="259">
        <f t="shared" si="1"/>
        <v>0</v>
      </c>
      <c r="J16" s="584" t="str">
        <f t="shared" si="2"/>
        <v/>
      </c>
      <c r="K16" s="745">
        <f>D16</f>
        <v>0</v>
      </c>
    </row>
    <row r="17" spans="1:11" ht="12.75" customHeight="1" x14ac:dyDescent="0.2">
      <c r="A17" s="521" t="s">
        <v>1261</v>
      </c>
      <c r="B17" s="170"/>
      <c r="C17" s="657">
        <f t="shared" ref="C17:H17" si="11">SUM(C18:C26)</f>
        <v>22479198.11145559</v>
      </c>
      <c r="D17" s="658">
        <f t="shared" si="11"/>
        <v>22479000</v>
      </c>
      <c r="E17" s="411">
        <f t="shared" si="11"/>
        <v>0</v>
      </c>
      <c r="F17" s="411">
        <f t="shared" si="11"/>
        <v>1873250.0000000002</v>
      </c>
      <c r="G17" s="411">
        <f t="shared" si="11"/>
        <v>7493000.0000000009</v>
      </c>
      <c r="H17" s="411">
        <f t="shared" si="11"/>
        <v>7493000.0000000009</v>
      </c>
      <c r="I17" s="259">
        <f t="shared" si="1"/>
        <v>0</v>
      </c>
      <c r="J17" s="584" t="str">
        <f t="shared" si="2"/>
        <v/>
      </c>
      <c r="K17" s="651">
        <f>SUM(K18:K26)</f>
        <v>22479000</v>
      </c>
    </row>
    <row r="18" spans="1:11" ht="12.75" customHeight="1" x14ac:dyDescent="0.2">
      <c r="A18" s="583" t="s">
        <v>1262</v>
      </c>
      <c r="B18" s="170"/>
      <c r="C18" s="758">
        <v>0</v>
      </c>
      <c r="D18" s="755"/>
      <c r="E18" s="743">
        <v>0</v>
      </c>
      <c r="F18" s="743">
        <f t="shared" si="10"/>
        <v>0</v>
      </c>
      <c r="G18" s="743">
        <f>F18*3</f>
        <v>0</v>
      </c>
      <c r="H18" s="743">
        <f t="shared" ref="H18" si="12">D18/12*2</f>
        <v>0</v>
      </c>
      <c r="I18" s="259">
        <f t="shared" si="1"/>
        <v>0</v>
      </c>
      <c r="J18" s="584" t="str">
        <f t="shared" si="2"/>
        <v/>
      </c>
      <c r="K18" s="745">
        <f>D18</f>
        <v>0</v>
      </c>
    </row>
    <row r="19" spans="1:11" ht="12.75" customHeight="1" x14ac:dyDescent="0.2">
      <c r="A19" s="583" t="s">
        <v>1263</v>
      </c>
      <c r="B19" s="170"/>
      <c r="C19" s="758">
        <v>4887379.4075908195</v>
      </c>
      <c r="D19" s="755">
        <v>4887000</v>
      </c>
      <c r="E19" s="743">
        <v>0</v>
      </c>
      <c r="F19" s="743">
        <f t="shared" si="10"/>
        <v>407250</v>
      </c>
      <c r="G19" s="743">
        <f t="shared" ref="G19:G25" si="13">H19</f>
        <v>1629000</v>
      </c>
      <c r="H19" s="743">
        <f t="shared" ref="H19:H25" si="14">D19/12*4</f>
        <v>1629000</v>
      </c>
      <c r="I19" s="259">
        <f t="shared" si="1"/>
        <v>0</v>
      </c>
      <c r="J19" s="584" t="str">
        <f t="shared" si="2"/>
        <v/>
      </c>
      <c r="K19" s="745">
        <f t="shared" ref="K19:K26" si="15">D19</f>
        <v>4887000</v>
      </c>
    </row>
    <row r="20" spans="1:11" ht="12.75" customHeight="1" x14ac:dyDescent="0.2">
      <c r="A20" s="583" t="s">
        <v>1264</v>
      </c>
      <c r="B20" s="170"/>
      <c r="C20" s="758">
        <v>0</v>
      </c>
      <c r="D20" s="755">
        <v>0</v>
      </c>
      <c r="E20" s="743">
        <v>0</v>
      </c>
      <c r="F20" s="743">
        <f t="shared" si="10"/>
        <v>0</v>
      </c>
      <c r="G20" s="743">
        <f t="shared" si="13"/>
        <v>0</v>
      </c>
      <c r="H20" s="743">
        <f t="shared" si="14"/>
        <v>0</v>
      </c>
      <c r="I20" s="259">
        <f t="shared" si="1"/>
        <v>0</v>
      </c>
      <c r="J20" s="584" t="str">
        <f t="shared" si="2"/>
        <v/>
      </c>
      <c r="K20" s="745">
        <f t="shared" si="15"/>
        <v>0</v>
      </c>
    </row>
    <row r="21" spans="1:11" ht="12.75" customHeight="1" x14ac:dyDescent="0.2">
      <c r="A21" s="583" t="s">
        <v>1265</v>
      </c>
      <c r="B21" s="170"/>
      <c r="C21" s="758">
        <v>0</v>
      </c>
      <c r="D21" s="755">
        <v>0</v>
      </c>
      <c r="E21" s="743">
        <v>0</v>
      </c>
      <c r="F21" s="743">
        <f t="shared" si="10"/>
        <v>0</v>
      </c>
      <c r="G21" s="743">
        <f t="shared" si="13"/>
        <v>0</v>
      </c>
      <c r="H21" s="743">
        <f t="shared" si="14"/>
        <v>0</v>
      </c>
      <c r="I21" s="259">
        <f t="shared" si="1"/>
        <v>0</v>
      </c>
      <c r="J21" s="584" t="str">
        <f t="shared" si="2"/>
        <v/>
      </c>
      <c r="K21" s="745">
        <f t="shared" si="15"/>
        <v>0</v>
      </c>
    </row>
    <row r="22" spans="1:11" ht="12.75" customHeight="1" x14ac:dyDescent="0.2">
      <c r="A22" s="583" t="s">
        <v>1266</v>
      </c>
      <c r="B22" s="170"/>
      <c r="C22" s="758">
        <v>0</v>
      </c>
      <c r="D22" s="755">
        <v>0</v>
      </c>
      <c r="E22" s="743">
        <v>0</v>
      </c>
      <c r="F22" s="743">
        <f t="shared" si="10"/>
        <v>0</v>
      </c>
      <c r="G22" s="743">
        <f t="shared" si="13"/>
        <v>0</v>
      </c>
      <c r="H22" s="743">
        <f t="shared" si="14"/>
        <v>0</v>
      </c>
      <c r="I22" s="259">
        <f t="shared" si="1"/>
        <v>0</v>
      </c>
      <c r="J22" s="584" t="str">
        <f t="shared" si="2"/>
        <v/>
      </c>
      <c r="K22" s="745">
        <f t="shared" si="15"/>
        <v>0</v>
      </c>
    </row>
    <row r="23" spans="1:11" ht="12.75" customHeight="1" x14ac:dyDescent="0.2">
      <c r="A23" s="583" t="s">
        <v>1267</v>
      </c>
      <c r="B23" s="170"/>
      <c r="C23" s="758">
        <v>0</v>
      </c>
      <c r="D23" s="755">
        <v>0</v>
      </c>
      <c r="E23" s="743">
        <v>0</v>
      </c>
      <c r="F23" s="743">
        <f t="shared" si="10"/>
        <v>0</v>
      </c>
      <c r="G23" s="743">
        <f t="shared" si="13"/>
        <v>0</v>
      </c>
      <c r="H23" s="743">
        <f t="shared" si="14"/>
        <v>0</v>
      </c>
      <c r="I23" s="259">
        <f t="shared" si="1"/>
        <v>0</v>
      </c>
      <c r="J23" s="584" t="str">
        <f t="shared" si="2"/>
        <v/>
      </c>
      <c r="K23" s="745">
        <f t="shared" si="15"/>
        <v>0</v>
      </c>
    </row>
    <row r="24" spans="1:11" ht="12.75" customHeight="1" x14ac:dyDescent="0.2">
      <c r="A24" s="583" t="s">
        <v>1268</v>
      </c>
      <c r="B24" s="170"/>
      <c r="C24" s="758">
        <v>12012961.636498075</v>
      </c>
      <c r="D24" s="755">
        <v>12013000</v>
      </c>
      <c r="E24" s="743">
        <v>0</v>
      </c>
      <c r="F24" s="743">
        <f t="shared" si="10"/>
        <v>1001083.3333333334</v>
      </c>
      <c r="G24" s="743">
        <f t="shared" si="13"/>
        <v>4004333.3333333335</v>
      </c>
      <c r="H24" s="743">
        <f t="shared" si="14"/>
        <v>4004333.3333333335</v>
      </c>
      <c r="I24" s="259">
        <f t="shared" si="1"/>
        <v>0</v>
      </c>
      <c r="J24" s="584" t="str">
        <f t="shared" si="2"/>
        <v/>
      </c>
      <c r="K24" s="745">
        <f t="shared" si="15"/>
        <v>12013000</v>
      </c>
    </row>
    <row r="25" spans="1:11" ht="12.75" customHeight="1" x14ac:dyDescent="0.2">
      <c r="A25" s="583" t="s">
        <v>1269</v>
      </c>
      <c r="B25" s="170"/>
      <c r="C25" s="758">
        <v>5578857.067366696</v>
      </c>
      <c r="D25" s="755">
        <v>5579000</v>
      </c>
      <c r="E25" s="743">
        <v>0</v>
      </c>
      <c r="F25" s="743">
        <f t="shared" si="10"/>
        <v>464916.66666666669</v>
      </c>
      <c r="G25" s="743">
        <f t="shared" si="13"/>
        <v>1859666.6666666667</v>
      </c>
      <c r="H25" s="743">
        <f t="shared" si="14"/>
        <v>1859666.6666666667</v>
      </c>
      <c r="I25" s="259">
        <f t="shared" si="1"/>
        <v>0</v>
      </c>
      <c r="J25" s="584" t="str">
        <f t="shared" si="2"/>
        <v/>
      </c>
      <c r="K25" s="745">
        <f t="shared" si="15"/>
        <v>5579000</v>
      </c>
    </row>
    <row r="26" spans="1:11" ht="12.75" customHeight="1" x14ac:dyDescent="0.2">
      <c r="A26" s="583" t="s">
        <v>1256</v>
      </c>
      <c r="B26" s="170"/>
      <c r="C26" s="758">
        <v>0</v>
      </c>
      <c r="D26" s="755"/>
      <c r="E26" s="743">
        <v>0</v>
      </c>
      <c r="F26" s="743">
        <f t="shared" si="10"/>
        <v>0</v>
      </c>
      <c r="G26" s="743">
        <f t="shared" ref="G26" si="16">H26</f>
        <v>0</v>
      </c>
      <c r="H26" s="743">
        <f t="shared" ref="H26" si="17">D26/12*3</f>
        <v>0</v>
      </c>
      <c r="I26" s="259">
        <f t="shared" si="1"/>
        <v>0</v>
      </c>
      <c r="J26" s="584" t="str">
        <f t="shared" si="2"/>
        <v/>
      </c>
      <c r="K26" s="745">
        <f t="shared" si="15"/>
        <v>0</v>
      </c>
    </row>
    <row r="27" spans="1:11" ht="12.75" customHeight="1" x14ac:dyDescent="0.2">
      <c r="A27" s="520" t="s">
        <v>1270</v>
      </c>
      <c r="B27" s="170"/>
      <c r="C27" s="657">
        <f t="shared" ref="C27:H27" si="18">SUM(C28:C37)</f>
        <v>22921384.394252159</v>
      </c>
      <c r="D27" s="658">
        <f t="shared" si="18"/>
        <v>22921000</v>
      </c>
      <c r="E27" s="411">
        <f t="shared" si="18"/>
        <v>0</v>
      </c>
      <c r="F27" s="411">
        <f t="shared" si="18"/>
        <v>1910083.3333333335</v>
      </c>
      <c r="G27" s="411">
        <f t="shared" si="18"/>
        <v>7640333.333333334</v>
      </c>
      <c r="H27" s="411">
        <f t="shared" si="18"/>
        <v>7640333.333333334</v>
      </c>
      <c r="I27" s="259">
        <f t="shared" si="1"/>
        <v>0</v>
      </c>
      <c r="J27" s="584" t="str">
        <f t="shared" si="2"/>
        <v/>
      </c>
      <c r="K27" s="651">
        <f>SUM(K28:K37)</f>
        <v>22921000</v>
      </c>
    </row>
    <row r="28" spans="1:11" ht="12.75" customHeight="1" x14ac:dyDescent="0.2">
      <c r="A28" s="583" t="s">
        <v>1271</v>
      </c>
      <c r="B28" s="170"/>
      <c r="C28" s="758">
        <v>627032.38651248696</v>
      </c>
      <c r="D28" s="755">
        <v>627000</v>
      </c>
      <c r="E28" s="743">
        <v>0</v>
      </c>
      <c r="F28" s="743">
        <f t="shared" si="10"/>
        <v>52250</v>
      </c>
      <c r="G28" s="743">
        <f t="shared" ref="G28:G36" si="19">H28</f>
        <v>209000</v>
      </c>
      <c r="H28" s="743">
        <f t="shared" ref="H28:H36" si="20">D28/12*4</f>
        <v>209000</v>
      </c>
      <c r="I28" s="259">
        <f t="shared" si="1"/>
        <v>0</v>
      </c>
      <c r="J28" s="584" t="str">
        <f t="shared" si="2"/>
        <v/>
      </c>
      <c r="K28" s="745">
        <f>D28</f>
        <v>627000</v>
      </c>
    </row>
    <row r="29" spans="1:11" ht="12.75" customHeight="1" x14ac:dyDescent="0.2">
      <c r="A29" s="583" t="s">
        <v>1272</v>
      </c>
      <c r="B29" s="170"/>
      <c r="C29" s="758">
        <v>1728167.292737965</v>
      </c>
      <c r="D29" s="755">
        <v>1728000</v>
      </c>
      <c r="E29" s="743">
        <v>0</v>
      </c>
      <c r="F29" s="743">
        <f t="shared" si="10"/>
        <v>144000</v>
      </c>
      <c r="G29" s="743">
        <f t="shared" si="19"/>
        <v>576000</v>
      </c>
      <c r="H29" s="743">
        <f t="shared" si="20"/>
        <v>576000</v>
      </c>
      <c r="I29" s="259">
        <f t="shared" si="1"/>
        <v>0</v>
      </c>
      <c r="J29" s="584" t="str">
        <f t="shared" si="2"/>
        <v/>
      </c>
      <c r="K29" s="745">
        <f t="shared" ref="K29:K37" si="21">D29</f>
        <v>1728000</v>
      </c>
    </row>
    <row r="30" spans="1:11" ht="12.75" customHeight="1" x14ac:dyDescent="0.2">
      <c r="A30" s="583" t="s">
        <v>1273</v>
      </c>
      <c r="B30" s="170"/>
      <c r="C30" s="758">
        <v>4561389.2653264934</v>
      </c>
      <c r="D30" s="755">
        <v>4561000</v>
      </c>
      <c r="E30" s="743">
        <v>0</v>
      </c>
      <c r="F30" s="743">
        <f t="shared" si="10"/>
        <v>380083.33333333331</v>
      </c>
      <c r="G30" s="743">
        <f t="shared" si="19"/>
        <v>1520333.3333333333</v>
      </c>
      <c r="H30" s="743">
        <f t="shared" si="20"/>
        <v>1520333.3333333333</v>
      </c>
      <c r="I30" s="259">
        <f t="shared" si="1"/>
        <v>0</v>
      </c>
      <c r="J30" s="584" t="str">
        <f t="shared" si="2"/>
        <v/>
      </c>
      <c r="K30" s="745">
        <f t="shared" si="21"/>
        <v>4561000</v>
      </c>
    </row>
    <row r="31" spans="1:11" ht="12.75" customHeight="1" x14ac:dyDescent="0.2">
      <c r="A31" s="583" t="s">
        <v>1274</v>
      </c>
      <c r="B31" s="170"/>
      <c r="C31" s="758">
        <v>653887.14392628463</v>
      </c>
      <c r="D31" s="755">
        <v>654000</v>
      </c>
      <c r="E31" s="743">
        <v>0</v>
      </c>
      <c r="F31" s="743">
        <f t="shared" si="10"/>
        <v>54500</v>
      </c>
      <c r="G31" s="743">
        <f t="shared" si="19"/>
        <v>218000</v>
      </c>
      <c r="H31" s="743">
        <f t="shared" si="20"/>
        <v>218000</v>
      </c>
      <c r="I31" s="259">
        <f t="shared" si="1"/>
        <v>0</v>
      </c>
      <c r="J31" s="584" t="str">
        <f t="shared" si="2"/>
        <v/>
      </c>
      <c r="K31" s="745">
        <f t="shared" si="21"/>
        <v>654000</v>
      </c>
    </row>
    <row r="32" spans="1:11" ht="12.75" customHeight="1" x14ac:dyDescent="0.2">
      <c r="A32" s="583" t="s">
        <v>1275</v>
      </c>
      <c r="B32" s="170"/>
      <c r="C32" s="758">
        <v>780401.29302530445</v>
      </c>
      <c r="D32" s="755">
        <v>780000</v>
      </c>
      <c r="E32" s="743">
        <v>0</v>
      </c>
      <c r="F32" s="743">
        <f t="shared" si="10"/>
        <v>65000</v>
      </c>
      <c r="G32" s="743">
        <f t="shared" si="19"/>
        <v>260000</v>
      </c>
      <c r="H32" s="743">
        <f t="shared" si="20"/>
        <v>260000</v>
      </c>
      <c r="I32" s="259">
        <f t="shared" si="1"/>
        <v>0</v>
      </c>
      <c r="J32" s="584" t="str">
        <f t="shared" si="2"/>
        <v/>
      </c>
      <c r="K32" s="745">
        <f t="shared" si="21"/>
        <v>780000</v>
      </c>
    </row>
    <row r="33" spans="1:11" ht="12.75" customHeight="1" x14ac:dyDescent="0.2">
      <c r="A33" s="583" t="s">
        <v>1276</v>
      </c>
      <c r="B33" s="170"/>
      <c r="C33" s="758">
        <v>3214812.4276203746</v>
      </c>
      <c r="D33" s="755">
        <v>3215000</v>
      </c>
      <c r="E33" s="743">
        <v>0</v>
      </c>
      <c r="F33" s="743">
        <f t="shared" si="10"/>
        <v>267916.66666666669</v>
      </c>
      <c r="G33" s="743">
        <f t="shared" si="19"/>
        <v>1071666.6666666667</v>
      </c>
      <c r="H33" s="743">
        <f t="shared" si="20"/>
        <v>1071666.6666666667</v>
      </c>
      <c r="I33" s="259">
        <f t="shared" si="1"/>
        <v>0</v>
      </c>
      <c r="J33" s="584" t="str">
        <f t="shared" si="2"/>
        <v/>
      </c>
      <c r="K33" s="745">
        <f t="shared" si="21"/>
        <v>3215000</v>
      </c>
    </row>
    <row r="34" spans="1:11" ht="12.75" customHeight="1" x14ac:dyDescent="0.2">
      <c r="A34" s="583" t="s">
        <v>1277</v>
      </c>
      <c r="B34" s="170"/>
      <c r="C34" s="758">
        <v>10934725.278179128</v>
      </c>
      <c r="D34" s="755">
        <v>10935000</v>
      </c>
      <c r="E34" s="743">
        <v>0</v>
      </c>
      <c r="F34" s="743">
        <f t="shared" si="10"/>
        <v>911250</v>
      </c>
      <c r="G34" s="743">
        <f t="shared" si="19"/>
        <v>3645000</v>
      </c>
      <c r="H34" s="743">
        <f t="shared" si="20"/>
        <v>3645000</v>
      </c>
      <c r="I34" s="259">
        <f t="shared" si="1"/>
        <v>0</v>
      </c>
      <c r="J34" s="584" t="str">
        <f t="shared" si="2"/>
        <v/>
      </c>
      <c r="K34" s="745">
        <f t="shared" si="21"/>
        <v>10935000</v>
      </c>
    </row>
    <row r="35" spans="1:11" ht="12.75" customHeight="1" x14ac:dyDescent="0.2">
      <c r="A35" s="583" t="s">
        <v>1278</v>
      </c>
      <c r="B35" s="170"/>
      <c r="C35" s="758">
        <v>413443.41942884983</v>
      </c>
      <c r="D35" s="755">
        <v>413000</v>
      </c>
      <c r="E35" s="743">
        <v>0</v>
      </c>
      <c r="F35" s="743">
        <f t="shared" si="10"/>
        <v>34416.666666666664</v>
      </c>
      <c r="G35" s="743">
        <f t="shared" si="19"/>
        <v>137666.66666666666</v>
      </c>
      <c r="H35" s="743">
        <f t="shared" si="20"/>
        <v>137666.66666666666</v>
      </c>
      <c r="I35" s="259">
        <f t="shared" si="1"/>
        <v>0</v>
      </c>
      <c r="J35" s="584" t="str">
        <f t="shared" si="2"/>
        <v/>
      </c>
      <c r="K35" s="745">
        <f t="shared" si="21"/>
        <v>413000</v>
      </c>
    </row>
    <row r="36" spans="1:11" ht="12.75" customHeight="1" x14ac:dyDescent="0.2">
      <c r="A36" s="583" t="s">
        <v>1279</v>
      </c>
      <c r="B36" s="170"/>
      <c r="C36" s="758">
        <v>7525.8874952716833</v>
      </c>
      <c r="D36" s="755">
        <v>8000</v>
      </c>
      <c r="E36" s="743">
        <v>0</v>
      </c>
      <c r="F36" s="743">
        <f t="shared" si="10"/>
        <v>666.66666666666663</v>
      </c>
      <c r="G36" s="743">
        <f t="shared" si="19"/>
        <v>2666.6666666666665</v>
      </c>
      <c r="H36" s="743">
        <f t="shared" si="20"/>
        <v>2666.6666666666665</v>
      </c>
      <c r="I36" s="259">
        <f t="shared" si="1"/>
        <v>0</v>
      </c>
      <c r="J36" s="584" t="str">
        <f t="shared" si="2"/>
        <v/>
      </c>
      <c r="K36" s="745">
        <f t="shared" si="21"/>
        <v>8000</v>
      </c>
    </row>
    <row r="37" spans="1:11" ht="12.75" customHeight="1" x14ac:dyDescent="0.2">
      <c r="A37" s="583" t="s">
        <v>1256</v>
      </c>
      <c r="B37" s="170"/>
      <c r="C37" s="758">
        <v>0</v>
      </c>
      <c r="D37" s="755"/>
      <c r="E37" s="743">
        <v>0</v>
      </c>
      <c r="F37" s="743">
        <f t="shared" si="10"/>
        <v>0</v>
      </c>
      <c r="G37" s="743">
        <v>0</v>
      </c>
      <c r="H37" s="743">
        <f t="shared" ref="H37" si="22">D37/12*3</f>
        <v>0</v>
      </c>
      <c r="I37" s="259">
        <f t="shared" si="1"/>
        <v>0</v>
      </c>
      <c r="J37" s="584" t="str">
        <f t="shared" si="2"/>
        <v/>
      </c>
      <c r="K37" s="745">
        <f t="shared" si="21"/>
        <v>0</v>
      </c>
    </row>
    <row r="38" spans="1:11" ht="12.75" customHeight="1" x14ac:dyDescent="0.2">
      <c r="A38" s="520" t="s">
        <v>1280</v>
      </c>
      <c r="B38" s="170"/>
      <c r="C38" s="657">
        <f t="shared" ref="C38:H38" si="23">SUM(C39:C44)</f>
        <v>6950625.7136387117</v>
      </c>
      <c r="D38" s="658">
        <f t="shared" si="23"/>
        <v>6951000</v>
      </c>
      <c r="E38" s="411">
        <f t="shared" si="23"/>
        <v>0</v>
      </c>
      <c r="F38" s="411">
        <f t="shared" si="23"/>
        <v>579250</v>
      </c>
      <c r="G38" s="411">
        <f t="shared" si="23"/>
        <v>2317000</v>
      </c>
      <c r="H38" s="411">
        <f t="shared" si="23"/>
        <v>2317000</v>
      </c>
      <c r="I38" s="259">
        <f t="shared" si="1"/>
        <v>0</v>
      </c>
      <c r="J38" s="584" t="str">
        <f t="shared" si="2"/>
        <v/>
      </c>
      <c r="K38" s="651">
        <f>SUM(K39:K44)</f>
        <v>6951000</v>
      </c>
    </row>
    <row r="39" spans="1:11" ht="12.75" customHeight="1" x14ac:dyDescent="0.2">
      <c r="A39" s="583" t="s">
        <v>1281</v>
      </c>
      <c r="B39" s="170"/>
      <c r="C39" s="758">
        <v>303924.13797742582</v>
      </c>
      <c r="D39" s="755">
        <v>304000</v>
      </c>
      <c r="E39" s="743">
        <v>0</v>
      </c>
      <c r="F39" s="743">
        <f t="shared" si="10"/>
        <v>25333.333333333332</v>
      </c>
      <c r="G39" s="743">
        <f t="shared" ref="G39:G43" si="24">H39</f>
        <v>101333.33333333333</v>
      </c>
      <c r="H39" s="743">
        <f t="shared" ref="H39:H43" si="25">D39/12*4</f>
        <v>101333.33333333333</v>
      </c>
      <c r="I39" s="259">
        <f t="shared" si="1"/>
        <v>0</v>
      </c>
      <c r="J39" s="584" t="str">
        <f t="shared" si="2"/>
        <v/>
      </c>
      <c r="K39" s="745">
        <f t="shared" ref="K39:K44" si="26">D39</f>
        <v>304000</v>
      </c>
    </row>
    <row r="40" spans="1:11" ht="12.75" customHeight="1" x14ac:dyDescent="0.2">
      <c r="A40" s="583" t="s">
        <v>141</v>
      </c>
      <c r="B40" s="170"/>
      <c r="C40" s="758">
        <v>2250172.3812103868</v>
      </c>
      <c r="D40" s="755">
        <v>2250000</v>
      </c>
      <c r="E40" s="743">
        <v>0</v>
      </c>
      <c r="F40" s="743">
        <f t="shared" si="10"/>
        <v>187500</v>
      </c>
      <c r="G40" s="743">
        <f t="shared" si="24"/>
        <v>750000</v>
      </c>
      <c r="H40" s="743">
        <f t="shared" si="25"/>
        <v>750000</v>
      </c>
      <c r="I40" s="259">
        <f t="shared" si="1"/>
        <v>0</v>
      </c>
      <c r="J40" s="584" t="str">
        <f t="shared" si="2"/>
        <v/>
      </c>
      <c r="K40" s="745">
        <f t="shared" si="26"/>
        <v>2250000</v>
      </c>
    </row>
    <row r="41" spans="1:11" ht="12.75" customHeight="1" x14ac:dyDescent="0.2">
      <c r="A41" s="583" t="s">
        <v>1282</v>
      </c>
      <c r="B41" s="170"/>
      <c r="C41" s="758">
        <v>3245025.4263593936</v>
      </c>
      <c r="D41" s="755">
        <v>3245000</v>
      </c>
      <c r="E41" s="743">
        <v>0</v>
      </c>
      <c r="F41" s="743">
        <f t="shared" si="10"/>
        <v>270416.66666666669</v>
      </c>
      <c r="G41" s="743">
        <f t="shared" si="24"/>
        <v>1081666.6666666667</v>
      </c>
      <c r="H41" s="743">
        <f t="shared" si="25"/>
        <v>1081666.6666666667</v>
      </c>
      <c r="I41" s="259">
        <f t="shared" si="1"/>
        <v>0</v>
      </c>
      <c r="J41" s="584" t="str">
        <f t="shared" si="2"/>
        <v/>
      </c>
      <c r="K41" s="745">
        <f t="shared" si="26"/>
        <v>3245000</v>
      </c>
    </row>
    <row r="42" spans="1:11" ht="12.75" customHeight="1" x14ac:dyDescent="0.2">
      <c r="A42" s="583" t="s">
        <v>1283</v>
      </c>
      <c r="B42" s="170"/>
      <c r="C42" s="758">
        <v>1151503.7680915052</v>
      </c>
      <c r="D42" s="755">
        <v>1152000</v>
      </c>
      <c r="E42" s="743">
        <v>0</v>
      </c>
      <c r="F42" s="743">
        <f t="shared" si="10"/>
        <v>96000</v>
      </c>
      <c r="G42" s="743">
        <f t="shared" si="24"/>
        <v>384000</v>
      </c>
      <c r="H42" s="743">
        <f t="shared" si="25"/>
        <v>384000</v>
      </c>
      <c r="I42" s="259">
        <f t="shared" si="1"/>
        <v>0</v>
      </c>
      <c r="J42" s="584" t="str">
        <f t="shared" si="2"/>
        <v/>
      </c>
      <c r="K42" s="745">
        <f t="shared" si="26"/>
        <v>1152000</v>
      </c>
    </row>
    <row r="43" spans="1:11" ht="12.75" customHeight="1" x14ac:dyDescent="0.2">
      <c r="A43" s="583" t="s">
        <v>1284</v>
      </c>
      <c r="B43" s="170"/>
      <c r="C43" s="758">
        <v>0</v>
      </c>
      <c r="D43" s="755"/>
      <c r="E43" s="743">
        <v>0</v>
      </c>
      <c r="F43" s="743">
        <f t="shared" si="10"/>
        <v>0</v>
      </c>
      <c r="G43" s="743">
        <f t="shared" si="24"/>
        <v>0</v>
      </c>
      <c r="H43" s="743">
        <f t="shared" si="25"/>
        <v>0</v>
      </c>
      <c r="I43" s="259">
        <f t="shared" si="1"/>
        <v>0</v>
      </c>
      <c r="J43" s="584" t="str">
        <f t="shared" si="2"/>
        <v/>
      </c>
      <c r="K43" s="745">
        <f t="shared" si="26"/>
        <v>0</v>
      </c>
    </row>
    <row r="44" spans="1:11" ht="12.75" customHeight="1" x14ac:dyDescent="0.2">
      <c r="A44" s="583" t="s">
        <v>1256</v>
      </c>
      <c r="B44" s="170"/>
      <c r="C44" s="758">
        <v>0</v>
      </c>
      <c r="D44" s="755"/>
      <c r="E44" s="743">
        <v>0</v>
      </c>
      <c r="F44" s="743">
        <v>0</v>
      </c>
      <c r="G44" s="743">
        <f t="shared" ref="G44" si="27">H44</f>
        <v>0</v>
      </c>
      <c r="H44" s="743">
        <f t="shared" ref="H44" si="28">D44/12*3</f>
        <v>0</v>
      </c>
      <c r="I44" s="259">
        <f t="shared" si="1"/>
        <v>0</v>
      </c>
      <c r="J44" s="584" t="str">
        <f t="shared" si="2"/>
        <v/>
      </c>
      <c r="K44" s="745">
        <f t="shared" si="26"/>
        <v>0</v>
      </c>
    </row>
    <row r="45" spans="1:11" ht="12.75" customHeight="1" x14ac:dyDescent="0.2">
      <c r="A45" s="520" t="s">
        <v>1285</v>
      </c>
      <c r="B45" s="170"/>
      <c r="C45" s="657">
        <f t="shared" ref="C45:H45" si="29">SUM(C46:C52)</f>
        <v>2138396.3364921669</v>
      </c>
      <c r="D45" s="658">
        <f t="shared" si="29"/>
        <v>2138000</v>
      </c>
      <c r="E45" s="411">
        <f t="shared" si="29"/>
        <v>0</v>
      </c>
      <c r="F45" s="411">
        <f t="shared" si="29"/>
        <v>178166.66666666666</v>
      </c>
      <c r="G45" s="411">
        <f t="shared" si="29"/>
        <v>712666.66666666663</v>
      </c>
      <c r="H45" s="411">
        <f t="shared" si="29"/>
        <v>712666.66666666663</v>
      </c>
      <c r="I45" s="259">
        <f t="shared" si="1"/>
        <v>0</v>
      </c>
      <c r="J45" s="584" t="str">
        <f t="shared" si="2"/>
        <v/>
      </c>
      <c r="K45" s="651">
        <f>SUM(K46:K52)</f>
        <v>2138000</v>
      </c>
    </row>
    <row r="46" spans="1:11" ht="12.75" customHeight="1" x14ac:dyDescent="0.2">
      <c r="A46" s="583" t="s">
        <v>1286</v>
      </c>
      <c r="B46" s="170"/>
      <c r="C46" s="758">
        <v>2090905.9671906205</v>
      </c>
      <c r="D46" s="755">
        <v>2091000</v>
      </c>
      <c r="E46" s="743">
        <v>0</v>
      </c>
      <c r="F46" s="743">
        <f t="shared" ref="F46:F47" si="30">D46/12</f>
        <v>174250</v>
      </c>
      <c r="G46" s="743">
        <f t="shared" ref="G46:G47" si="31">H46</f>
        <v>697000</v>
      </c>
      <c r="H46" s="743">
        <f t="shared" ref="H46:H47" si="32">D46/12*4</f>
        <v>697000</v>
      </c>
      <c r="I46" s="259">
        <f t="shared" si="1"/>
        <v>0</v>
      </c>
      <c r="J46" s="584" t="str">
        <f t="shared" si="2"/>
        <v/>
      </c>
      <c r="K46" s="745">
        <f>D46</f>
        <v>2091000</v>
      </c>
    </row>
    <row r="47" spans="1:11" ht="12.75" customHeight="1" x14ac:dyDescent="0.2">
      <c r="A47" s="583" t="s">
        <v>1287</v>
      </c>
      <c r="B47" s="170"/>
      <c r="C47" s="758">
        <v>47490.369301546518</v>
      </c>
      <c r="D47" s="755">
        <v>47000</v>
      </c>
      <c r="E47" s="743">
        <v>0</v>
      </c>
      <c r="F47" s="743">
        <f t="shared" si="30"/>
        <v>3916.6666666666665</v>
      </c>
      <c r="G47" s="743">
        <f t="shared" si="31"/>
        <v>15666.666666666666</v>
      </c>
      <c r="H47" s="743">
        <f t="shared" si="32"/>
        <v>15666.666666666666</v>
      </c>
      <c r="I47" s="259">
        <f t="shared" si="1"/>
        <v>0</v>
      </c>
      <c r="J47" s="584" t="str">
        <f t="shared" si="2"/>
        <v/>
      </c>
      <c r="K47" s="745">
        <f t="shared" ref="K47:K52" si="33">D47</f>
        <v>47000</v>
      </c>
    </row>
    <row r="48" spans="1:11" ht="12.75" customHeight="1" x14ac:dyDescent="0.2">
      <c r="A48" s="583" t="s">
        <v>1288</v>
      </c>
      <c r="B48" s="170"/>
      <c r="C48" s="758">
        <v>0</v>
      </c>
      <c r="D48" s="755"/>
      <c r="E48" s="743">
        <v>0</v>
      </c>
      <c r="F48" s="743">
        <v>0</v>
      </c>
      <c r="G48" s="743">
        <v>0</v>
      </c>
      <c r="H48" s="743">
        <f t="shared" ref="H48:H52" si="34">D48/12*3</f>
        <v>0</v>
      </c>
      <c r="I48" s="259">
        <f t="shared" si="1"/>
        <v>0</v>
      </c>
      <c r="J48" s="584" t="str">
        <f t="shared" si="2"/>
        <v/>
      </c>
      <c r="K48" s="745">
        <f t="shared" si="33"/>
        <v>0</v>
      </c>
    </row>
    <row r="49" spans="1:11" ht="12.75" customHeight="1" x14ac:dyDescent="0.2">
      <c r="A49" s="583" t="s">
        <v>1289</v>
      </c>
      <c r="B49" s="170"/>
      <c r="C49" s="758">
        <v>0</v>
      </c>
      <c r="D49" s="755"/>
      <c r="E49" s="743">
        <v>0</v>
      </c>
      <c r="F49" s="743">
        <v>0</v>
      </c>
      <c r="G49" s="743">
        <f>F49*3</f>
        <v>0</v>
      </c>
      <c r="H49" s="743">
        <f t="shared" si="34"/>
        <v>0</v>
      </c>
      <c r="I49" s="259">
        <f t="shared" si="1"/>
        <v>0</v>
      </c>
      <c r="J49" s="584" t="str">
        <f t="shared" si="2"/>
        <v/>
      </c>
      <c r="K49" s="745">
        <f t="shared" si="33"/>
        <v>0</v>
      </c>
    </row>
    <row r="50" spans="1:11" ht="12.75" customHeight="1" x14ac:dyDescent="0.2">
      <c r="A50" s="583" t="s">
        <v>1290</v>
      </c>
      <c r="B50" s="170"/>
      <c r="C50" s="758">
        <v>0</v>
      </c>
      <c r="D50" s="755"/>
      <c r="E50" s="743">
        <v>0</v>
      </c>
      <c r="F50" s="743">
        <v>0</v>
      </c>
      <c r="G50" s="743">
        <f>F50*3</f>
        <v>0</v>
      </c>
      <c r="H50" s="743">
        <f t="shared" si="34"/>
        <v>0</v>
      </c>
      <c r="I50" s="259">
        <f t="shared" si="1"/>
        <v>0</v>
      </c>
      <c r="J50" s="584" t="str">
        <f t="shared" si="2"/>
        <v/>
      </c>
      <c r="K50" s="745">
        <f t="shared" si="33"/>
        <v>0</v>
      </c>
    </row>
    <row r="51" spans="1:11" ht="12.75" customHeight="1" x14ac:dyDescent="0.2">
      <c r="A51" s="583" t="s">
        <v>1291</v>
      </c>
      <c r="B51" s="170"/>
      <c r="C51" s="758">
        <v>0</v>
      </c>
      <c r="D51" s="755"/>
      <c r="E51" s="743">
        <v>0</v>
      </c>
      <c r="F51" s="743">
        <v>0</v>
      </c>
      <c r="G51" s="743">
        <f>F51*3</f>
        <v>0</v>
      </c>
      <c r="H51" s="743">
        <f t="shared" si="34"/>
        <v>0</v>
      </c>
      <c r="I51" s="259">
        <f t="shared" si="1"/>
        <v>0</v>
      </c>
      <c r="J51" s="584" t="str">
        <f t="shared" si="2"/>
        <v/>
      </c>
      <c r="K51" s="745">
        <f t="shared" si="33"/>
        <v>0</v>
      </c>
    </row>
    <row r="52" spans="1:11" ht="12.75" customHeight="1" x14ac:dyDescent="0.2">
      <c r="A52" s="583" t="s">
        <v>1256</v>
      </c>
      <c r="B52" s="170"/>
      <c r="C52" s="758">
        <v>0</v>
      </c>
      <c r="D52" s="755"/>
      <c r="E52" s="743">
        <v>0</v>
      </c>
      <c r="F52" s="743">
        <v>0</v>
      </c>
      <c r="G52" s="743">
        <f>F52*3</f>
        <v>0</v>
      </c>
      <c r="H52" s="743">
        <f t="shared" si="34"/>
        <v>0</v>
      </c>
      <c r="I52" s="259">
        <f t="shared" si="1"/>
        <v>0</v>
      </c>
      <c r="J52" s="584" t="str">
        <f t="shared" si="2"/>
        <v/>
      </c>
      <c r="K52" s="745">
        <f t="shared" si="33"/>
        <v>0</v>
      </c>
    </row>
    <row r="53" spans="1:11" ht="12.75" customHeight="1" x14ac:dyDescent="0.2">
      <c r="A53" s="521" t="s">
        <v>1292</v>
      </c>
      <c r="B53" s="170"/>
      <c r="C53" s="657">
        <f t="shared" ref="C53:H53" si="35">SUM(C54:C62)</f>
        <v>0</v>
      </c>
      <c r="D53" s="658">
        <f t="shared" si="35"/>
        <v>0</v>
      </c>
      <c r="E53" s="411">
        <f t="shared" si="35"/>
        <v>0</v>
      </c>
      <c r="F53" s="411">
        <f t="shared" si="35"/>
        <v>0</v>
      </c>
      <c r="G53" s="411">
        <f t="shared" si="35"/>
        <v>0</v>
      </c>
      <c r="H53" s="411">
        <f t="shared" si="35"/>
        <v>0</v>
      </c>
      <c r="I53" s="259">
        <f t="shared" si="1"/>
        <v>0</v>
      </c>
      <c r="J53" s="584" t="str">
        <f t="shared" si="2"/>
        <v/>
      </c>
      <c r="K53" s="651">
        <f>SUM(K54:K62)</f>
        <v>0</v>
      </c>
    </row>
    <row r="54" spans="1:11" ht="12.75" customHeight="1" x14ac:dyDescent="0.2">
      <c r="A54" s="583" t="s">
        <v>1293</v>
      </c>
      <c r="B54" s="170"/>
      <c r="C54" s="758"/>
      <c r="D54" s="755"/>
      <c r="E54" s="743"/>
      <c r="F54" s="743"/>
      <c r="G54" s="743"/>
      <c r="H54" s="743"/>
      <c r="I54" s="259">
        <f t="shared" si="1"/>
        <v>0</v>
      </c>
      <c r="J54" s="584" t="str">
        <f t="shared" si="2"/>
        <v/>
      </c>
      <c r="K54" s="745"/>
    </row>
    <row r="55" spans="1:11" ht="12.75" customHeight="1" x14ac:dyDescent="0.2">
      <c r="A55" s="583" t="s">
        <v>1294</v>
      </c>
      <c r="B55" s="170"/>
      <c r="C55" s="758"/>
      <c r="D55" s="755"/>
      <c r="E55" s="743"/>
      <c r="F55" s="743"/>
      <c r="G55" s="743"/>
      <c r="H55" s="743"/>
      <c r="I55" s="259">
        <f t="shared" si="1"/>
        <v>0</v>
      </c>
      <c r="J55" s="584" t="str">
        <f t="shared" si="2"/>
        <v/>
      </c>
      <c r="K55" s="745"/>
    </row>
    <row r="56" spans="1:11" ht="12.75" customHeight="1" x14ac:dyDescent="0.2">
      <c r="A56" s="583" t="s">
        <v>1295</v>
      </c>
      <c r="B56" s="170"/>
      <c r="C56" s="758"/>
      <c r="D56" s="755"/>
      <c r="E56" s="743"/>
      <c r="F56" s="743"/>
      <c r="G56" s="743"/>
      <c r="H56" s="743"/>
      <c r="I56" s="259">
        <f t="shared" si="1"/>
        <v>0</v>
      </c>
      <c r="J56" s="584" t="str">
        <f t="shared" si="2"/>
        <v/>
      </c>
      <c r="K56" s="745"/>
    </row>
    <row r="57" spans="1:11" ht="12.75" customHeight="1" x14ac:dyDescent="0.2">
      <c r="A57" s="583" t="s">
        <v>1258</v>
      </c>
      <c r="B57" s="170"/>
      <c r="C57" s="758"/>
      <c r="D57" s="755"/>
      <c r="E57" s="743"/>
      <c r="F57" s="743"/>
      <c r="G57" s="743"/>
      <c r="H57" s="743"/>
      <c r="I57" s="259">
        <f t="shared" si="1"/>
        <v>0</v>
      </c>
      <c r="J57" s="584" t="str">
        <f t="shared" si="2"/>
        <v/>
      </c>
      <c r="K57" s="745"/>
    </row>
    <row r="58" spans="1:11" ht="12.75" customHeight="1" x14ac:dyDescent="0.2">
      <c r="A58" s="583" t="s">
        <v>1259</v>
      </c>
      <c r="B58" s="170"/>
      <c r="C58" s="758"/>
      <c r="D58" s="755"/>
      <c r="E58" s="743"/>
      <c r="F58" s="743"/>
      <c r="G58" s="743"/>
      <c r="H58" s="743"/>
      <c r="I58" s="259">
        <f t="shared" si="1"/>
        <v>0</v>
      </c>
      <c r="J58" s="584" t="str">
        <f t="shared" si="2"/>
        <v/>
      </c>
      <c r="K58" s="745"/>
    </row>
    <row r="59" spans="1:11" ht="12.75" customHeight="1" x14ac:dyDescent="0.2">
      <c r="A59" s="583" t="s">
        <v>1260</v>
      </c>
      <c r="B59" s="170"/>
      <c r="C59" s="758"/>
      <c r="D59" s="755"/>
      <c r="E59" s="743"/>
      <c r="F59" s="743"/>
      <c r="G59" s="743"/>
      <c r="H59" s="743"/>
      <c r="I59" s="259">
        <f t="shared" si="1"/>
        <v>0</v>
      </c>
      <c r="J59" s="584" t="str">
        <f t="shared" si="2"/>
        <v/>
      </c>
      <c r="K59" s="745"/>
    </row>
    <row r="60" spans="1:11" ht="12.75" customHeight="1" x14ac:dyDescent="0.2">
      <c r="A60" s="583" t="s">
        <v>1266</v>
      </c>
      <c r="B60" s="170"/>
      <c r="C60" s="758"/>
      <c r="D60" s="755"/>
      <c r="E60" s="743"/>
      <c r="F60" s="743"/>
      <c r="G60" s="743"/>
      <c r="H60" s="743"/>
      <c r="I60" s="259">
        <f t="shared" si="1"/>
        <v>0</v>
      </c>
      <c r="J60" s="584" t="str">
        <f t="shared" si="2"/>
        <v/>
      </c>
      <c r="K60" s="745"/>
    </row>
    <row r="61" spans="1:11" ht="12.75" customHeight="1" x14ac:dyDescent="0.2">
      <c r="A61" s="583" t="s">
        <v>1269</v>
      </c>
      <c r="B61" s="170"/>
      <c r="C61" s="758"/>
      <c r="D61" s="755"/>
      <c r="E61" s="743"/>
      <c r="F61" s="743"/>
      <c r="G61" s="743"/>
      <c r="H61" s="743"/>
      <c r="I61" s="259">
        <f t="shared" si="1"/>
        <v>0</v>
      </c>
      <c r="J61" s="584" t="str">
        <f t="shared" si="2"/>
        <v/>
      </c>
      <c r="K61" s="745"/>
    </row>
    <row r="62" spans="1:11" ht="12.75" customHeight="1" x14ac:dyDescent="0.2">
      <c r="A62" s="583" t="s">
        <v>1256</v>
      </c>
      <c r="B62" s="170"/>
      <c r="C62" s="758"/>
      <c r="D62" s="755"/>
      <c r="E62" s="743"/>
      <c r="F62" s="743"/>
      <c r="G62" s="743"/>
      <c r="H62" s="743"/>
      <c r="I62" s="259">
        <f t="shared" si="1"/>
        <v>0</v>
      </c>
      <c r="J62" s="584" t="str">
        <f t="shared" si="2"/>
        <v/>
      </c>
      <c r="K62" s="745"/>
    </row>
    <row r="63" spans="1:11" ht="12.75" customHeight="1" x14ac:dyDescent="0.2">
      <c r="A63" s="520" t="s">
        <v>1296</v>
      </c>
      <c r="B63" s="170"/>
      <c r="C63" s="657">
        <f t="shared" ref="C63:H63" si="36">SUM(C64:C68)</f>
        <v>0</v>
      </c>
      <c r="D63" s="658">
        <f t="shared" si="36"/>
        <v>0</v>
      </c>
      <c r="E63" s="411">
        <f t="shared" si="36"/>
        <v>0</v>
      </c>
      <c r="F63" s="411">
        <f t="shared" si="36"/>
        <v>0</v>
      </c>
      <c r="G63" s="411">
        <f t="shared" si="36"/>
        <v>0</v>
      </c>
      <c r="H63" s="411">
        <f t="shared" si="36"/>
        <v>0</v>
      </c>
      <c r="I63" s="259">
        <f t="shared" si="1"/>
        <v>0</v>
      </c>
      <c r="J63" s="584" t="str">
        <f t="shared" si="2"/>
        <v/>
      </c>
      <c r="K63" s="651">
        <f>SUM(K64:K68)</f>
        <v>0</v>
      </c>
    </row>
    <row r="64" spans="1:11" ht="12.75" customHeight="1" x14ac:dyDescent="0.2">
      <c r="A64" s="583" t="s">
        <v>1297</v>
      </c>
      <c r="B64" s="170"/>
      <c r="C64" s="758"/>
      <c r="D64" s="755"/>
      <c r="E64" s="743"/>
      <c r="F64" s="743"/>
      <c r="G64" s="743"/>
      <c r="H64" s="743"/>
      <c r="I64" s="259">
        <f t="shared" si="1"/>
        <v>0</v>
      </c>
      <c r="J64" s="584" t="str">
        <f t="shared" si="2"/>
        <v/>
      </c>
      <c r="K64" s="745"/>
    </row>
    <row r="65" spans="1:11" ht="12.75" customHeight="1" x14ac:dyDescent="0.2">
      <c r="A65" s="583" t="s">
        <v>1298</v>
      </c>
      <c r="B65" s="170"/>
      <c r="C65" s="758"/>
      <c r="D65" s="755"/>
      <c r="E65" s="743"/>
      <c r="F65" s="743"/>
      <c r="G65" s="743"/>
      <c r="H65" s="743"/>
      <c r="I65" s="259">
        <f t="shared" si="1"/>
        <v>0</v>
      </c>
      <c r="J65" s="584" t="str">
        <f t="shared" si="2"/>
        <v/>
      </c>
      <c r="K65" s="745"/>
    </row>
    <row r="66" spans="1:11" ht="12.75" customHeight="1" x14ac:dyDescent="0.2">
      <c r="A66" s="583" t="s">
        <v>1299</v>
      </c>
      <c r="B66" s="170"/>
      <c r="C66" s="758"/>
      <c r="D66" s="755"/>
      <c r="E66" s="743"/>
      <c r="F66" s="743"/>
      <c r="G66" s="743"/>
      <c r="H66" s="743"/>
      <c r="I66" s="259">
        <f t="shared" si="1"/>
        <v>0</v>
      </c>
      <c r="J66" s="584" t="str">
        <f t="shared" si="2"/>
        <v/>
      </c>
      <c r="K66" s="745"/>
    </row>
    <row r="67" spans="1:11" ht="12.75" customHeight="1" x14ac:dyDescent="0.2">
      <c r="A67" s="583" t="s">
        <v>1300</v>
      </c>
      <c r="B67" s="170"/>
      <c r="C67" s="758"/>
      <c r="D67" s="755"/>
      <c r="E67" s="743"/>
      <c r="F67" s="743"/>
      <c r="G67" s="743"/>
      <c r="H67" s="743"/>
      <c r="I67" s="259">
        <f t="shared" si="1"/>
        <v>0</v>
      </c>
      <c r="J67" s="584" t="str">
        <f t="shared" si="2"/>
        <v/>
      </c>
      <c r="K67" s="745"/>
    </row>
    <row r="68" spans="1:11" ht="12.75" customHeight="1" x14ac:dyDescent="0.2">
      <c r="A68" s="583" t="s">
        <v>1256</v>
      </c>
      <c r="B68" s="170"/>
      <c r="C68" s="758"/>
      <c r="D68" s="755"/>
      <c r="E68" s="743"/>
      <c r="F68" s="743"/>
      <c r="G68" s="743"/>
      <c r="H68" s="743"/>
      <c r="I68" s="259">
        <f t="shared" si="1"/>
        <v>0</v>
      </c>
      <c r="J68" s="584" t="str">
        <f t="shared" si="2"/>
        <v/>
      </c>
      <c r="K68" s="745"/>
    </row>
    <row r="69" spans="1:11" ht="12.75" customHeight="1" x14ac:dyDescent="0.2">
      <c r="A69" s="521" t="s">
        <v>1301</v>
      </c>
      <c r="B69" s="170"/>
      <c r="C69" s="657">
        <f t="shared" ref="C69:H69" si="37">SUM(C70:C73)</f>
        <v>656470.44071846176</v>
      </c>
      <c r="D69" s="658">
        <f t="shared" si="37"/>
        <v>656000</v>
      </c>
      <c r="E69" s="411">
        <f t="shared" si="37"/>
        <v>0</v>
      </c>
      <c r="F69" s="411">
        <f t="shared" si="37"/>
        <v>54666.666666666672</v>
      </c>
      <c r="G69" s="411">
        <f t="shared" si="37"/>
        <v>218666.66666666669</v>
      </c>
      <c r="H69" s="411">
        <f t="shared" si="37"/>
        <v>218666.66666666669</v>
      </c>
      <c r="I69" s="259">
        <f t="shared" si="1"/>
        <v>0</v>
      </c>
      <c r="J69" s="584" t="str">
        <f t="shared" si="2"/>
        <v/>
      </c>
      <c r="K69" s="651">
        <f>SUM(K70:K73)</f>
        <v>656000</v>
      </c>
    </row>
    <row r="70" spans="1:11" ht="12.75" customHeight="1" x14ac:dyDescent="0.2">
      <c r="A70" s="583" t="s">
        <v>1302</v>
      </c>
      <c r="B70" s="170"/>
      <c r="C70" s="758">
        <v>197014.27353979216</v>
      </c>
      <c r="D70" s="755">
        <v>197000</v>
      </c>
      <c r="E70" s="743">
        <v>0</v>
      </c>
      <c r="F70" s="743">
        <f t="shared" ref="F70:F73" si="38">D70/12</f>
        <v>16416.666666666668</v>
      </c>
      <c r="G70" s="743">
        <f t="shared" ref="G70:G73" si="39">H70</f>
        <v>65666.666666666672</v>
      </c>
      <c r="H70" s="743">
        <f t="shared" ref="H70:H73" si="40">D70/12*4</f>
        <v>65666.666666666672</v>
      </c>
      <c r="I70" s="259">
        <f t="shared" si="1"/>
        <v>0</v>
      </c>
      <c r="J70" s="584" t="str">
        <f t="shared" si="2"/>
        <v/>
      </c>
      <c r="K70" s="745">
        <f>D70</f>
        <v>197000</v>
      </c>
    </row>
    <row r="71" spans="1:11" ht="12.75" customHeight="1" x14ac:dyDescent="0.2">
      <c r="A71" s="583" t="s">
        <v>1303</v>
      </c>
      <c r="B71" s="170"/>
      <c r="C71" s="758">
        <v>426864.03560711676</v>
      </c>
      <c r="D71" s="755">
        <v>427000</v>
      </c>
      <c r="E71" s="743">
        <v>0</v>
      </c>
      <c r="F71" s="743">
        <f t="shared" si="38"/>
        <v>35583.333333333336</v>
      </c>
      <c r="G71" s="743">
        <f t="shared" si="39"/>
        <v>142333.33333333334</v>
      </c>
      <c r="H71" s="743">
        <f t="shared" si="40"/>
        <v>142333.33333333334</v>
      </c>
      <c r="I71" s="259">
        <f t="shared" si="1"/>
        <v>0</v>
      </c>
      <c r="J71" s="584" t="str">
        <f t="shared" si="2"/>
        <v/>
      </c>
      <c r="K71" s="745">
        <f>D71</f>
        <v>427000</v>
      </c>
    </row>
    <row r="72" spans="1:11" ht="12.75" customHeight="1" x14ac:dyDescent="0.2">
      <c r="A72" s="583" t="s">
        <v>1304</v>
      </c>
      <c r="B72" s="170"/>
      <c r="C72" s="758">
        <v>10276.224895699947</v>
      </c>
      <c r="D72" s="755">
        <v>10000</v>
      </c>
      <c r="E72" s="743">
        <v>0</v>
      </c>
      <c r="F72" s="743">
        <f t="shared" si="38"/>
        <v>833.33333333333337</v>
      </c>
      <c r="G72" s="743">
        <f t="shared" si="39"/>
        <v>3333.3333333333335</v>
      </c>
      <c r="H72" s="743">
        <f t="shared" si="40"/>
        <v>3333.3333333333335</v>
      </c>
      <c r="I72" s="259">
        <f t="shared" si="1"/>
        <v>0</v>
      </c>
      <c r="J72" s="584" t="str">
        <f t="shared" si="2"/>
        <v/>
      </c>
      <c r="K72" s="745">
        <f>D72</f>
        <v>10000</v>
      </c>
    </row>
    <row r="73" spans="1:11" ht="12.75" customHeight="1" x14ac:dyDescent="0.2">
      <c r="A73" s="583" t="s">
        <v>1256</v>
      </c>
      <c r="B73" s="170"/>
      <c r="C73" s="758">
        <v>22315.906675852788</v>
      </c>
      <c r="D73" s="755">
        <v>22000</v>
      </c>
      <c r="E73" s="743">
        <v>0</v>
      </c>
      <c r="F73" s="743">
        <f t="shared" si="38"/>
        <v>1833.3333333333333</v>
      </c>
      <c r="G73" s="743">
        <f t="shared" si="39"/>
        <v>7333.333333333333</v>
      </c>
      <c r="H73" s="743">
        <f t="shared" si="40"/>
        <v>7333.333333333333</v>
      </c>
      <c r="I73" s="259">
        <f t="shared" si="1"/>
        <v>0</v>
      </c>
      <c r="J73" s="584" t="str">
        <f t="shared" si="2"/>
        <v/>
      </c>
      <c r="K73" s="745">
        <f>D73</f>
        <v>22000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41">+C76+C99</f>
        <v>576342324.37879765</v>
      </c>
      <c r="D75" s="586">
        <f t="shared" si="41"/>
        <v>49730000</v>
      </c>
      <c r="E75" s="587">
        <f t="shared" si="41"/>
        <v>0</v>
      </c>
      <c r="F75" s="587">
        <f t="shared" si="41"/>
        <v>4144166.666666667</v>
      </c>
      <c r="G75" s="587">
        <f t="shared" si="41"/>
        <v>16576666.666666668</v>
      </c>
      <c r="H75" s="587">
        <f t="shared" si="41"/>
        <v>16576666.666666668</v>
      </c>
      <c r="I75" s="587">
        <f t="shared" si="1"/>
        <v>0</v>
      </c>
      <c r="J75" s="588" t="str">
        <f t="shared" si="2"/>
        <v/>
      </c>
      <c r="K75" s="589">
        <f>+K76+K99</f>
        <v>49730000</v>
      </c>
    </row>
    <row r="76" spans="1:11" ht="12.75" customHeight="1" x14ac:dyDescent="0.2">
      <c r="A76" s="521" t="s">
        <v>1305</v>
      </c>
      <c r="B76" s="170"/>
      <c r="C76" s="657">
        <f t="shared" ref="C76:H76" si="42">SUM(C77:C98)</f>
        <v>551572324.37879765</v>
      </c>
      <c r="D76" s="658">
        <f t="shared" si="42"/>
        <v>24960000</v>
      </c>
      <c r="E76" s="411">
        <f t="shared" si="42"/>
        <v>0</v>
      </c>
      <c r="F76" s="411">
        <f t="shared" si="42"/>
        <v>2080000</v>
      </c>
      <c r="G76" s="411">
        <f t="shared" si="42"/>
        <v>8320000</v>
      </c>
      <c r="H76" s="411">
        <f t="shared" si="42"/>
        <v>8320000</v>
      </c>
      <c r="I76" s="259">
        <f t="shared" si="1"/>
        <v>0</v>
      </c>
      <c r="J76" s="584" t="str">
        <f t="shared" si="2"/>
        <v/>
      </c>
      <c r="K76" s="651">
        <f>SUM(K77:K98)</f>
        <v>24960000</v>
      </c>
    </row>
    <row r="77" spans="1:11" ht="12.75" customHeight="1" x14ac:dyDescent="0.2">
      <c r="A77" s="583" t="s">
        <v>1306</v>
      </c>
      <c r="B77" s="170"/>
      <c r="C77" s="758">
        <v>737280.80532067432</v>
      </c>
      <c r="D77" s="763">
        <v>737000</v>
      </c>
      <c r="E77" s="743">
        <v>0</v>
      </c>
      <c r="F77" s="743">
        <f t="shared" ref="F77:F98" si="43">D77/12</f>
        <v>61416.666666666664</v>
      </c>
      <c r="G77" s="743">
        <f t="shared" ref="G77:G98" si="44">H77</f>
        <v>245666.66666666666</v>
      </c>
      <c r="H77" s="743">
        <f t="shared" ref="H77:H98" si="45">D77/12*4</f>
        <v>245666.66666666666</v>
      </c>
      <c r="I77" s="45">
        <f t="shared" si="1"/>
        <v>0</v>
      </c>
      <c r="J77" s="125" t="str">
        <f t="shared" si="2"/>
        <v/>
      </c>
      <c r="K77" s="745">
        <f>D77</f>
        <v>737000</v>
      </c>
    </row>
    <row r="78" spans="1:11" ht="12.75" customHeight="1" x14ac:dyDescent="0.2">
      <c r="A78" s="583" t="s">
        <v>1307</v>
      </c>
      <c r="B78" s="170"/>
      <c r="C78" s="758">
        <v>24527.586418446826</v>
      </c>
      <c r="D78" s="763">
        <v>25000</v>
      </c>
      <c r="E78" s="743">
        <v>0</v>
      </c>
      <c r="F78" s="743">
        <f t="shared" si="43"/>
        <v>2083.3333333333335</v>
      </c>
      <c r="G78" s="743">
        <f t="shared" si="44"/>
        <v>8333.3333333333339</v>
      </c>
      <c r="H78" s="743">
        <f t="shared" si="45"/>
        <v>8333.3333333333339</v>
      </c>
      <c r="I78" s="45">
        <f t="shared" si="1"/>
        <v>0</v>
      </c>
      <c r="J78" s="125" t="str">
        <f t="shared" si="2"/>
        <v/>
      </c>
      <c r="K78" s="745">
        <f t="shared" ref="K78:K98" si="46">D78</f>
        <v>25000</v>
      </c>
    </row>
    <row r="79" spans="1:11" ht="12.75" customHeight="1" x14ac:dyDescent="0.2">
      <c r="A79" s="583" t="s">
        <v>1308</v>
      </c>
      <c r="B79" s="170"/>
      <c r="C79" s="758">
        <v>0</v>
      </c>
      <c r="D79" s="763">
        <v>0</v>
      </c>
      <c r="E79" s="743">
        <v>0</v>
      </c>
      <c r="F79" s="743">
        <f t="shared" si="43"/>
        <v>0</v>
      </c>
      <c r="G79" s="743">
        <f t="shared" si="44"/>
        <v>0</v>
      </c>
      <c r="H79" s="743">
        <f t="shared" si="45"/>
        <v>0</v>
      </c>
      <c r="I79" s="45">
        <f t="shared" si="1"/>
        <v>0</v>
      </c>
      <c r="J79" s="125" t="str">
        <f t="shared" si="2"/>
        <v/>
      </c>
      <c r="K79" s="745">
        <f t="shared" si="46"/>
        <v>0</v>
      </c>
    </row>
    <row r="80" spans="1:11" ht="12.75" customHeight="1" x14ac:dyDescent="0.2">
      <c r="A80" s="583" t="s">
        <v>1309</v>
      </c>
      <c r="B80" s="170"/>
      <c r="C80" s="758">
        <v>56322.64417652478</v>
      </c>
      <c r="D80" s="763">
        <v>56000</v>
      </c>
      <c r="E80" s="743">
        <v>0</v>
      </c>
      <c r="F80" s="743">
        <f t="shared" si="43"/>
        <v>4666.666666666667</v>
      </c>
      <c r="G80" s="743">
        <f t="shared" si="44"/>
        <v>18666.666666666668</v>
      </c>
      <c r="H80" s="743">
        <f t="shared" si="45"/>
        <v>18666.666666666668</v>
      </c>
      <c r="I80" s="45">
        <f t="shared" si="1"/>
        <v>0</v>
      </c>
      <c r="J80" s="125" t="str">
        <f t="shared" si="2"/>
        <v/>
      </c>
      <c r="K80" s="745">
        <f t="shared" si="46"/>
        <v>56000</v>
      </c>
    </row>
    <row r="81" spans="1:11" ht="12.75" customHeight="1" x14ac:dyDescent="0.2">
      <c r="A81" s="583" t="s">
        <v>1310</v>
      </c>
      <c r="B81" s="170"/>
      <c r="C81" s="758">
        <v>692805.3659456484</v>
      </c>
      <c r="D81" s="763">
        <v>693000</v>
      </c>
      <c r="E81" s="743">
        <v>0</v>
      </c>
      <c r="F81" s="743">
        <f t="shared" si="43"/>
        <v>57750</v>
      </c>
      <c r="G81" s="743">
        <f t="shared" si="44"/>
        <v>231000</v>
      </c>
      <c r="H81" s="743">
        <f t="shared" si="45"/>
        <v>231000</v>
      </c>
      <c r="I81" s="45">
        <f t="shared" si="1"/>
        <v>0</v>
      </c>
      <c r="J81" s="125" t="str">
        <f t="shared" si="2"/>
        <v/>
      </c>
      <c r="K81" s="745">
        <f t="shared" si="46"/>
        <v>693000</v>
      </c>
    </row>
    <row r="82" spans="1:11" ht="12.75" customHeight="1" x14ac:dyDescent="0.2">
      <c r="A82" s="583" t="s">
        <v>1311</v>
      </c>
      <c r="B82" s="170"/>
      <c r="C82" s="758">
        <v>120676.3284151273</v>
      </c>
      <c r="D82" s="763">
        <v>121000</v>
      </c>
      <c r="E82" s="743">
        <v>0</v>
      </c>
      <c r="F82" s="743">
        <f t="shared" si="43"/>
        <v>10083.333333333334</v>
      </c>
      <c r="G82" s="743">
        <f t="shared" si="44"/>
        <v>40333.333333333336</v>
      </c>
      <c r="H82" s="743">
        <f t="shared" si="45"/>
        <v>40333.333333333336</v>
      </c>
      <c r="I82" s="45">
        <f t="shared" si="1"/>
        <v>0</v>
      </c>
      <c r="J82" s="125" t="str">
        <f t="shared" si="2"/>
        <v/>
      </c>
      <c r="K82" s="745">
        <f t="shared" si="46"/>
        <v>121000</v>
      </c>
    </row>
    <row r="83" spans="1:11" ht="12.75" customHeight="1" x14ac:dyDescent="0.2">
      <c r="A83" s="583" t="s">
        <v>1312</v>
      </c>
      <c r="B83" s="170"/>
      <c r="C83" s="758">
        <v>1749530.2907444544</v>
      </c>
      <c r="D83" s="763">
        <v>1750000</v>
      </c>
      <c r="E83" s="743">
        <v>0</v>
      </c>
      <c r="F83" s="743">
        <f t="shared" si="43"/>
        <v>145833.33333333334</v>
      </c>
      <c r="G83" s="743">
        <f t="shared" si="44"/>
        <v>583333.33333333337</v>
      </c>
      <c r="H83" s="743">
        <f t="shared" si="45"/>
        <v>583333.33333333337</v>
      </c>
      <c r="I83" s="45">
        <f t="shared" si="1"/>
        <v>0</v>
      </c>
      <c r="J83" s="125" t="str">
        <f t="shared" si="2"/>
        <v/>
      </c>
      <c r="K83" s="745">
        <f t="shared" si="46"/>
        <v>1750000</v>
      </c>
    </row>
    <row r="84" spans="1:11" ht="12.75" customHeight="1" x14ac:dyDescent="0.2">
      <c r="A84" s="583" t="s">
        <v>1313</v>
      </c>
      <c r="B84" s="170"/>
      <c r="C84" s="758">
        <v>0</v>
      </c>
      <c r="D84" s="763">
        <v>0</v>
      </c>
      <c r="E84" s="743">
        <v>0</v>
      </c>
      <c r="F84" s="743">
        <f t="shared" si="43"/>
        <v>0</v>
      </c>
      <c r="G84" s="743">
        <f t="shared" si="44"/>
        <v>0</v>
      </c>
      <c r="H84" s="743">
        <f t="shared" si="45"/>
        <v>0</v>
      </c>
      <c r="I84" s="45">
        <f t="shared" si="1"/>
        <v>0</v>
      </c>
      <c r="J84" s="125" t="str">
        <f t="shared" si="2"/>
        <v/>
      </c>
      <c r="K84" s="745">
        <f t="shared" si="46"/>
        <v>0</v>
      </c>
    </row>
    <row r="85" spans="1:11" ht="12.75" customHeight="1" x14ac:dyDescent="0.2">
      <c r="A85" s="583" t="s">
        <v>1189</v>
      </c>
      <c r="B85" s="170"/>
      <c r="C85" s="758">
        <v>0</v>
      </c>
      <c r="D85" s="763">
        <v>0</v>
      </c>
      <c r="E85" s="743">
        <v>0</v>
      </c>
      <c r="F85" s="743">
        <f t="shared" si="43"/>
        <v>0</v>
      </c>
      <c r="G85" s="743">
        <f t="shared" si="44"/>
        <v>0</v>
      </c>
      <c r="H85" s="743">
        <f t="shared" si="45"/>
        <v>0</v>
      </c>
      <c r="I85" s="45">
        <f t="shared" si="1"/>
        <v>0</v>
      </c>
      <c r="J85" s="125" t="str">
        <f t="shared" si="2"/>
        <v/>
      </c>
      <c r="K85" s="745">
        <f t="shared" si="46"/>
        <v>0</v>
      </c>
    </row>
    <row r="86" spans="1:11" ht="12.75" customHeight="1" x14ac:dyDescent="0.2">
      <c r="A86" s="583" t="s">
        <v>572</v>
      </c>
      <c r="B86" s="170"/>
      <c r="C86" s="758">
        <v>0</v>
      </c>
      <c r="D86" s="763">
        <v>0</v>
      </c>
      <c r="E86" s="743">
        <v>0</v>
      </c>
      <c r="F86" s="743">
        <f t="shared" si="43"/>
        <v>0</v>
      </c>
      <c r="G86" s="743">
        <f t="shared" si="44"/>
        <v>0</v>
      </c>
      <c r="H86" s="743">
        <f t="shared" si="45"/>
        <v>0</v>
      </c>
      <c r="I86" s="45">
        <f t="shared" si="1"/>
        <v>0</v>
      </c>
      <c r="J86" s="125" t="str">
        <f t="shared" si="2"/>
        <v/>
      </c>
      <c r="K86" s="745">
        <f t="shared" si="46"/>
        <v>0</v>
      </c>
    </row>
    <row r="87" spans="1:11" ht="12.75" customHeight="1" x14ac:dyDescent="0.2">
      <c r="A87" s="583" t="s">
        <v>1314</v>
      </c>
      <c r="B87" s="170"/>
      <c r="C87" s="758">
        <v>245019.25354075246</v>
      </c>
      <c r="D87" s="763">
        <v>245000</v>
      </c>
      <c r="E87" s="743">
        <v>0</v>
      </c>
      <c r="F87" s="743">
        <f t="shared" si="43"/>
        <v>20416.666666666668</v>
      </c>
      <c r="G87" s="743">
        <f t="shared" si="44"/>
        <v>81666.666666666672</v>
      </c>
      <c r="H87" s="743">
        <f t="shared" si="45"/>
        <v>81666.666666666672</v>
      </c>
      <c r="I87" s="45">
        <f t="shared" si="1"/>
        <v>0</v>
      </c>
      <c r="J87" s="125" t="str">
        <f t="shared" si="2"/>
        <v/>
      </c>
      <c r="K87" s="745">
        <f t="shared" si="46"/>
        <v>245000</v>
      </c>
    </row>
    <row r="88" spans="1:11" ht="12.75" customHeight="1" x14ac:dyDescent="0.2">
      <c r="A88" s="583" t="s">
        <v>173</v>
      </c>
      <c r="B88" s="170"/>
      <c r="C88" s="758">
        <v>0</v>
      </c>
      <c r="D88" s="763">
        <v>0</v>
      </c>
      <c r="E88" s="743">
        <v>0</v>
      </c>
      <c r="F88" s="743">
        <f t="shared" si="43"/>
        <v>0</v>
      </c>
      <c r="G88" s="743">
        <f t="shared" si="44"/>
        <v>0</v>
      </c>
      <c r="H88" s="743">
        <f t="shared" si="45"/>
        <v>0</v>
      </c>
      <c r="I88" s="45">
        <f t="shared" si="1"/>
        <v>0</v>
      </c>
      <c r="J88" s="125" t="str">
        <f t="shared" si="2"/>
        <v/>
      </c>
      <c r="K88" s="745">
        <f t="shared" si="46"/>
        <v>0</v>
      </c>
    </row>
    <row r="89" spans="1:11" ht="12.75" customHeight="1" x14ac:dyDescent="0.2">
      <c r="A89" s="583" t="s">
        <v>1315</v>
      </c>
      <c r="B89" s="170"/>
      <c r="C89" s="758">
        <v>0</v>
      </c>
      <c r="D89" s="763">
        <v>0</v>
      </c>
      <c r="E89" s="743">
        <v>0</v>
      </c>
      <c r="F89" s="743">
        <f t="shared" si="43"/>
        <v>0</v>
      </c>
      <c r="G89" s="743">
        <f t="shared" si="44"/>
        <v>0</v>
      </c>
      <c r="H89" s="743">
        <f t="shared" si="45"/>
        <v>0</v>
      </c>
      <c r="I89" s="45">
        <f t="shared" si="1"/>
        <v>0</v>
      </c>
      <c r="J89" s="125" t="str">
        <f t="shared" si="2"/>
        <v/>
      </c>
      <c r="K89" s="745">
        <f t="shared" si="46"/>
        <v>0</v>
      </c>
    </row>
    <row r="90" spans="1:11" ht="12.75" customHeight="1" x14ac:dyDescent="0.2">
      <c r="A90" s="583" t="s">
        <v>1316</v>
      </c>
      <c r="B90" s="170"/>
      <c r="C90" s="758">
        <v>1248691.1100178929</v>
      </c>
      <c r="D90" s="763">
        <v>1249000</v>
      </c>
      <c r="E90" s="743">
        <v>0</v>
      </c>
      <c r="F90" s="743">
        <f t="shared" si="43"/>
        <v>104083.33333333333</v>
      </c>
      <c r="G90" s="743">
        <f t="shared" si="44"/>
        <v>416333.33333333331</v>
      </c>
      <c r="H90" s="743">
        <f t="shared" si="45"/>
        <v>416333.33333333331</v>
      </c>
      <c r="I90" s="45">
        <f t="shared" si="1"/>
        <v>0</v>
      </c>
      <c r="J90" s="125" t="str">
        <f t="shared" si="2"/>
        <v/>
      </c>
      <c r="K90" s="745">
        <f t="shared" si="46"/>
        <v>1249000</v>
      </c>
    </row>
    <row r="91" spans="1:11" ht="12.75" customHeight="1" x14ac:dyDescent="0.2">
      <c r="A91" s="583" t="s">
        <v>1317</v>
      </c>
      <c r="B91" s="170"/>
      <c r="C91" s="758">
        <v>0</v>
      </c>
      <c r="D91" s="763">
        <v>0</v>
      </c>
      <c r="E91" s="743">
        <v>0</v>
      </c>
      <c r="F91" s="743">
        <f t="shared" si="43"/>
        <v>0</v>
      </c>
      <c r="G91" s="743">
        <f t="shared" si="44"/>
        <v>0</v>
      </c>
      <c r="H91" s="743">
        <f t="shared" si="45"/>
        <v>0</v>
      </c>
      <c r="I91" s="45">
        <f t="shared" si="1"/>
        <v>0</v>
      </c>
      <c r="J91" s="125" t="str">
        <f t="shared" si="2"/>
        <v/>
      </c>
      <c r="K91" s="745">
        <f t="shared" si="46"/>
        <v>0</v>
      </c>
    </row>
    <row r="92" spans="1:11" ht="12.75" customHeight="1" x14ac:dyDescent="0.2">
      <c r="A92" s="583" t="s">
        <v>1318</v>
      </c>
      <c r="B92" s="170"/>
      <c r="C92" s="758">
        <v>0</v>
      </c>
      <c r="D92" s="763">
        <v>0</v>
      </c>
      <c r="E92" s="743">
        <v>0</v>
      </c>
      <c r="F92" s="743">
        <f t="shared" si="43"/>
        <v>0</v>
      </c>
      <c r="G92" s="743">
        <f t="shared" si="44"/>
        <v>0</v>
      </c>
      <c r="H92" s="743">
        <f t="shared" si="45"/>
        <v>0</v>
      </c>
      <c r="I92" s="45">
        <f t="shared" si="1"/>
        <v>0</v>
      </c>
      <c r="J92" s="125" t="str">
        <f t="shared" si="2"/>
        <v/>
      </c>
      <c r="K92" s="745">
        <f t="shared" si="46"/>
        <v>0</v>
      </c>
    </row>
    <row r="93" spans="1:11" ht="12.75" customHeight="1" x14ac:dyDescent="0.2">
      <c r="A93" s="583" t="s">
        <v>451</v>
      </c>
      <c r="B93" s="170"/>
      <c r="C93" s="758">
        <v>246453.20630807124</v>
      </c>
      <c r="D93" s="763">
        <v>246000</v>
      </c>
      <c r="E93" s="743">
        <v>0</v>
      </c>
      <c r="F93" s="743">
        <f t="shared" si="43"/>
        <v>20500</v>
      </c>
      <c r="G93" s="743">
        <f t="shared" si="44"/>
        <v>82000</v>
      </c>
      <c r="H93" s="743">
        <f t="shared" si="45"/>
        <v>82000</v>
      </c>
      <c r="I93" s="45">
        <f t="shared" si="1"/>
        <v>0</v>
      </c>
      <c r="J93" s="125" t="str">
        <f t="shared" si="2"/>
        <v/>
      </c>
      <c r="K93" s="745">
        <f t="shared" si="46"/>
        <v>246000</v>
      </c>
    </row>
    <row r="94" spans="1:11" ht="12.75" customHeight="1" x14ac:dyDescent="0.2">
      <c r="A94" s="583" t="s">
        <v>1319</v>
      </c>
      <c r="B94" s="170"/>
      <c r="C94" s="758">
        <v>0</v>
      </c>
      <c r="D94" s="763">
        <v>0</v>
      </c>
      <c r="E94" s="743">
        <v>0</v>
      </c>
      <c r="F94" s="743">
        <f t="shared" si="43"/>
        <v>0</v>
      </c>
      <c r="G94" s="743">
        <f t="shared" si="44"/>
        <v>0</v>
      </c>
      <c r="H94" s="743">
        <f t="shared" si="45"/>
        <v>0</v>
      </c>
      <c r="I94" s="45">
        <f t="shared" si="1"/>
        <v>0</v>
      </c>
      <c r="J94" s="125" t="str">
        <f t="shared" si="2"/>
        <v/>
      </c>
      <c r="K94" s="745">
        <f t="shared" si="46"/>
        <v>0</v>
      </c>
    </row>
    <row r="95" spans="1:11" ht="12.75" customHeight="1" x14ac:dyDescent="0.2">
      <c r="A95" s="583" t="s">
        <v>450</v>
      </c>
      <c r="B95" s="170"/>
      <c r="C95" s="758">
        <v>0</v>
      </c>
      <c r="D95" s="763">
        <v>0</v>
      </c>
      <c r="E95" s="743">
        <v>0</v>
      </c>
      <c r="F95" s="743">
        <f t="shared" si="43"/>
        <v>0</v>
      </c>
      <c r="G95" s="743">
        <f t="shared" si="44"/>
        <v>0</v>
      </c>
      <c r="H95" s="743">
        <f t="shared" si="45"/>
        <v>0</v>
      </c>
      <c r="I95" s="45">
        <f t="shared" si="1"/>
        <v>0</v>
      </c>
      <c r="J95" s="125" t="str">
        <f t="shared" si="2"/>
        <v/>
      </c>
      <c r="K95" s="745">
        <f t="shared" si="46"/>
        <v>0</v>
      </c>
    </row>
    <row r="96" spans="1:11" ht="12.75" customHeight="1" x14ac:dyDescent="0.2">
      <c r="A96" s="583" t="s">
        <v>1320</v>
      </c>
      <c r="B96" s="170"/>
      <c r="C96" s="758">
        <v>821301.40992593137</v>
      </c>
      <c r="D96" s="763">
        <v>821000</v>
      </c>
      <c r="E96" s="743">
        <v>0</v>
      </c>
      <c r="F96" s="743">
        <f t="shared" si="43"/>
        <v>68416.666666666672</v>
      </c>
      <c r="G96" s="743">
        <f t="shared" si="44"/>
        <v>273666.66666666669</v>
      </c>
      <c r="H96" s="743">
        <f t="shared" si="45"/>
        <v>273666.66666666669</v>
      </c>
      <c r="I96" s="45">
        <f t="shared" si="1"/>
        <v>0</v>
      </c>
      <c r="J96" s="125" t="str">
        <f t="shared" si="2"/>
        <v/>
      </c>
      <c r="K96" s="745">
        <f t="shared" si="46"/>
        <v>821000</v>
      </c>
    </row>
    <row r="97" spans="1:11" ht="12.75" customHeight="1" x14ac:dyDescent="0.2">
      <c r="A97" s="583" t="s">
        <v>1321</v>
      </c>
      <c r="B97" s="170"/>
      <c r="C97" s="758">
        <v>961725.86332520179</v>
      </c>
      <c r="D97" s="763">
        <v>962000</v>
      </c>
      <c r="E97" s="743">
        <v>0</v>
      </c>
      <c r="F97" s="743">
        <f t="shared" si="43"/>
        <v>80166.666666666672</v>
      </c>
      <c r="G97" s="743">
        <f t="shared" si="44"/>
        <v>320666.66666666669</v>
      </c>
      <c r="H97" s="743">
        <f t="shared" si="45"/>
        <v>320666.66666666669</v>
      </c>
      <c r="I97" s="45">
        <f t="shared" si="1"/>
        <v>0</v>
      </c>
      <c r="J97" s="125" t="str">
        <f t="shared" si="2"/>
        <v/>
      </c>
      <c r="K97" s="745">
        <f t="shared" si="46"/>
        <v>962000</v>
      </c>
    </row>
    <row r="98" spans="1:11" ht="12.75" customHeight="1" x14ac:dyDescent="0.2">
      <c r="A98" s="583" t="s">
        <v>1256</v>
      </c>
      <c r="B98" s="170"/>
      <c r="C98" s="758">
        <v>544667990.51465893</v>
      </c>
      <c r="D98" s="763">
        <v>18055000</v>
      </c>
      <c r="E98" s="743">
        <v>0</v>
      </c>
      <c r="F98" s="743">
        <f t="shared" si="43"/>
        <v>1504583.3333333333</v>
      </c>
      <c r="G98" s="743">
        <f t="shared" si="44"/>
        <v>6018333.333333333</v>
      </c>
      <c r="H98" s="743">
        <f t="shared" si="45"/>
        <v>6018333.333333333</v>
      </c>
      <c r="I98" s="45">
        <f t="shared" si="1"/>
        <v>0</v>
      </c>
      <c r="J98" s="125" t="str">
        <f t="shared" si="2"/>
        <v/>
      </c>
      <c r="K98" s="745">
        <f t="shared" si="46"/>
        <v>18055000</v>
      </c>
    </row>
    <row r="99" spans="1:11" ht="12.75" customHeight="1" x14ac:dyDescent="0.2">
      <c r="A99" s="521" t="s">
        <v>1322</v>
      </c>
      <c r="B99" s="170"/>
      <c r="C99" s="657">
        <f t="shared" ref="C99:H99" si="47">SUM(C100:C102)</f>
        <v>24770000</v>
      </c>
      <c r="D99" s="658">
        <f t="shared" si="47"/>
        <v>24770000</v>
      </c>
      <c r="E99" s="411">
        <f t="shared" si="47"/>
        <v>0</v>
      </c>
      <c r="F99" s="411">
        <f t="shared" si="47"/>
        <v>2064166.6666666667</v>
      </c>
      <c r="G99" s="411">
        <f t="shared" si="47"/>
        <v>8256666.666666667</v>
      </c>
      <c r="H99" s="411">
        <f t="shared" si="47"/>
        <v>8256666.666666667</v>
      </c>
      <c r="I99" s="259">
        <f t="shared" si="1"/>
        <v>0</v>
      </c>
      <c r="J99" s="584" t="str">
        <f t="shared" si="2"/>
        <v/>
      </c>
      <c r="K99" s="651">
        <f>SUM(K100:K102)</f>
        <v>24770000</v>
      </c>
    </row>
    <row r="100" spans="1:11" ht="12.75" customHeight="1" x14ac:dyDescent="0.2">
      <c r="A100" s="583" t="s">
        <v>1323</v>
      </c>
      <c r="B100" s="170"/>
      <c r="C100" s="758">
        <v>1569000</v>
      </c>
      <c r="D100" s="763">
        <v>1569000</v>
      </c>
      <c r="E100" s="743">
        <v>0</v>
      </c>
      <c r="F100" s="743">
        <f t="shared" ref="F100:F101" si="48">D100/12</f>
        <v>130750</v>
      </c>
      <c r="G100" s="743">
        <f t="shared" ref="G100:G101" si="49">H100</f>
        <v>523000</v>
      </c>
      <c r="H100" s="743">
        <f t="shared" ref="H100:H102" si="50">D100/12*4</f>
        <v>523000</v>
      </c>
      <c r="I100" s="45">
        <f t="shared" si="1"/>
        <v>0</v>
      </c>
      <c r="J100" s="125" t="str">
        <f t="shared" si="2"/>
        <v/>
      </c>
      <c r="K100" s="745">
        <f>D100</f>
        <v>1569000</v>
      </c>
    </row>
    <row r="101" spans="1:11" ht="12.75" customHeight="1" x14ac:dyDescent="0.2">
      <c r="A101" s="583" t="s">
        <v>1324</v>
      </c>
      <c r="B101" s="170"/>
      <c r="C101" s="758">
        <v>23201000</v>
      </c>
      <c r="D101" s="763">
        <v>23201000</v>
      </c>
      <c r="E101" s="743">
        <v>0</v>
      </c>
      <c r="F101" s="743">
        <f t="shared" si="48"/>
        <v>1933416.6666666667</v>
      </c>
      <c r="G101" s="743">
        <f t="shared" si="49"/>
        <v>7733666.666666667</v>
      </c>
      <c r="H101" s="743">
        <f t="shared" si="50"/>
        <v>7733666.666666667</v>
      </c>
      <c r="I101" s="45">
        <f>H101-G101</f>
        <v>0</v>
      </c>
      <c r="J101" s="125" t="str">
        <f>IF(I101=0,"",I101/H101)</f>
        <v/>
      </c>
      <c r="K101" s="745">
        <f>D101</f>
        <v>23201000</v>
      </c>
    </row>
    <row r="102" spans="1:11" ht="12.75" customHeight="1" x14ac:dyDescent="0.2">
      <c r="A102" s="583" t="s">
        <v>1256</v>
      </c>
      <c r="B102" s="170"/>
      <c r="C102" s="758"/>
      <c r="D102" s="763"/>
      <c r="E102" s="743">
        <v>0</v>
      </c>
      <c r="F102" s="743">
        <v>0</v>
      </c>
      <c r="G102" s="743">
        <f>H102</f>
        <v>0</v>
      </c>
      <c r="H102" s="743">
        <f t="shared" si="50"/>
        <v>0</v>
      </c>
      <c r="I102" s="45">
        <f t="shared" si="1"/>
        <v>0</v>
      </c>
      <c r="J102" s="125" t="str">
        <f t="shared" si="2"/>
        <v/>
      </c>
      <c r="K102" s="745">
        <f>D102</f>
        <v>0</v>
      </c>
    </row>
    <row r="103" spans="1:11" ht="12.75" customHeight="1" x14ac:dyDescent="0.2">
      <c r="A103" s="553" t="s">
        <v>690</v>
      </c>
      <c r="B103" s="170"/>
      <c r="C103" s="250">
        <f t="shared" ref="C103:H103" si="51">SUM(C104:C108)</f>
        <v>0</v>
      </c>
      <c r="D103" s="265">
        <f t="shared" si="51"/>
        <v>0</v>
      </c>
      <c r="E103" s="100">
        <f t="shared" si="51"/>
        <v>0</v>
      </c>
      <c r="F103" s="100">
        <f t="shared" si="51"/>
        <v>0</v>
      </c>
      <c r="G103" s="100">
        <f t="shared" si="51"/>
        <v>0</v>
      </c>
      <c r="H103" s="100">
        <f t="shared" si="51"/>
        <v>0</v>
      </c>
      <c r="I103" s="100">
        <f t="shared" si="1"/>
        <v>0</v>
      </c>
      <c r="J103" s="327" t="str">
        <f t="shared" si="2"/>
        <v/>
      </c>
      <c r="K103" s="196">
        <f>SUM(K104:K108)</f>
        <v>0</v>
      </c>
    </row>
    <row r="104" spans="1:11" ht="12.75" customHeight="1" x14ac:dyDescent="0.2">
      <c r="A104" s="521" t="s">
        <v>1326</v>
      </c>
      <c r="B104" s="170"/>
      <c r="C104" s="796"/>
      <c r="D104" s="763"/>
      <c r="E104" s="743"/>
      <c r="F104" s="743"/>
      <c r="G104" s="743"/>
      <c r="H104" s="743"/>
      <c r="I104" s="45">
        <f t="shared" si="1"/>
        <v>0</v>
      </c>
      <c r="J104" s="125" t="str">
        <f t="shared" si="2"/>
        <v/>
      </c>
      <c r="K104" s="745"/>
    </row>
    <row r="105" spans="1:11" ht="12.75" customHeight="1" x14ac:dyDescent="0.2">
      <c r="A105" s="520" t="s">
        <v>1327</v>
      </c>
      <c r="B105" s="170"/>
      <c r="C105" s="796"/>
      <c r="D105" s="763"/>
      <c r="E105" s="743"/>
      <c r="F105" s="743"/>
      <c r="G105" s="743"/>
      <c r="H105" s="743"/>
      <c r="I105" s="45">
        <f t="shared" si="1"/>
        <v>0</v>
      </c>
      <c r="J105" s="125" t="str">
        <f t="shared" si="2"/>
        <v/>
      </c>
      <c r="K105" s="745"/>
    </row>
    <row r="106" spans="1:11" ht="12.75" customHeight="1" x14ac:dyDescent="0.2">
      <c r="A106" s="521" t="s">
        <v>1328</v>
      </c>
      <c r="B106" s="170"/>
      <c r="C106" s="796"/>
      <c r="D106" s="763"/>
      <c r="E106" s="743"/>
      <c r="F106" s="743"/>
      <c r="G106" s="743"/>
      <c r="H106" s="743"/>
      <c r="I106" s="45">
        <f t="shared" si="1"/>
        <v>0</v>
      </c>
      <c r="J106" s="125" t="str">
        <f t="shared" si="2"/>
        <v/>
      </c>
      <c r="K106" s="745"/>
    </row>
    <row r="107" spans="1:11" ht="12.75" customHeight="1" x14ac:dyDescent="0.2">
      <c r="A107" s="521" t="s">
        <v>1329</v>
      </c>
      <c r="B107" s="170"/>
      <c r="C107" s="796"/>
      <c r="D107" s="763"/>
      <c r="E107" s="743"/>
      <c r="F107" s="743"/>
      <c r="G107" s="743"/>
      <c r="H107" s="743"/>
      <c r="I107" s="45">
        <f t="shared" si="1"/>
        <v>0</v>
      </c>
      <c r="J107" s="125" t="str">
        <f t="shared" si="2"/>
        <v/>
      </c>
      <c r="K107" s="745"/>
    </row>
    <row r="108" spans="1:11" ht="12.75" customHeight="1" x14ac:dyDescent="0.2">
      <c r="A108" s="520" t="s">
        <v>1330</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52">+C111+C114</f>
        <v>0</v>
      </c>
      <c r="D110" s="586">
        <f t="shared" si="52"/>
        <v>0</v>
      </c>
      <c r="E110" s="587">
        <f t="shared" si="52"/>
        <v>0</v>
      </c>
      <c r="F110" s="587">
        <f t="shared" si="52"/>
        <v>0</v>
      </c>
      <c r="G110" s="587">
        <f t="shared" si="52"/>
        <v>0</v>
      </c>
      <c r="H110" s="587">
        <f t="shared" si="52"/>
        <v>0</v>
      </c>
      <c r="I110" s="100">
        <f t="shared" si="1"/>
        <v>0</v>
      </c>
      <c r="J110" s="327" t="str">
        <f t="shared" si="2"/>
        <v/>
      </c>
      <c r="K110" s="589">
        <f>+K111+K114</f>
        <v>0</v>
      </c>
    </row>
    <row r="111" spans="1:11" ht="12.75" customHeight="1" x14ac:dyDescent="0.2">
      <c r="A111" s="521" t="s">
        <v>1331</v>
      </c>
      <c r="B111" s="170"/>
      <c r="C111" s="657">
        <f t="shared" ref="C111:H111" si="53">SUM(C112:C113)</f>
        <v>0</v>
      </c>
      <c r="D111" s="658">
        <f t="shared" si="53"/>
        <v>0</v>
      </c>
      <c r="E111" s="411">
        <f t="shared" si="53"/>
        <v>0</v>
      </c>
      <c r="F111" s="411">
        <f t="shared" si="53"/>
        <v>0</v>
      </c>
      <c r="G111" s="411">
        <f t="shared" si="53"/>
        <v>0</v>
      </c>
      <c r="H111" s="411">
        <f t="shared" si="53"/>
        <v>0</v>
      </c>
      <c r="I111" s="259">
        <f t="shared" si="1"/>
        <v>0</v>
      </c>
      <c r="J111" s="584" t="str">
        <f t="shared" si="2"/>
        <v/>
      </c>
      <c r="K111" s="651">
        <f>SUM(K112:K113)</f>
        <v>0</v>
      </c>
    </row>
    <row r="112" spans="1:11" ht="12.75" customHeight="1" x14ac:dyDescent="0.2">
      <c r="A112" s="583" t="s">
        <v>1332</v>
      </c>
      <c r="B112" s="170"/>
      <c r="C112" s="758"/>
      <c r="D112" s="763"/>
      <c r="E112" s="743"/>
      <c r="F112" s="743"/>
      <c r="G112" s="743"/>
      <c r="H112" s="743"/>
      <c r="I112" s="45">
        <f t="shared" si="1"/>
        <v>0</v>
      </c>
      <c r="J112" s="125" t="str">
        <f t="shared" si="2"/>
        <v/>
      </c>
      <c r="K112" s="745"/>
    </row>
    <row r="113" spans="1:11" ht="12.75" customHeight="1" x14ac:dyDescent="0.2">
      <c r="A113" s="583" t="s">
        <v>1333</v>
      </c>
      <c r="B113" s="170"/>
      <c r="C113" s="758"/>
      <c r="D113" s="763"/>
      <c r="E113" s="743"/>
      <c r="F113" s="743"/>
      <c r="G113" s="743"/>
      <c r="H113" s="743"/>
      <c r="I113" s="45">
        <f t="shared" si="1"/>
        <v>0</v>
      </c>
      <c r="J113" s="125" t="str">
        <f t="shared" si="2"/>
        <v/>
      </c>
      <c r="K113" s="745"/>
    </row>
    <row r="114" spans="1:11" ht="12.75" customHeight="1" x14ac:dyDescent="0.2">
      <c r="A114" s="521" t="s">
        <v>1334</v>
      </c>
      <c r="B114" s="170"/>
      <c r="C114" s="657">
        <f t="shared" ref="C114:H114" si="54">SUM(C115:C116)</f>
        <v>0</v>
      </c>
      <c r="D114" s="658">
        <f t="shared" si="54"/>
        <v>0</v>
      </c>
      <c r="E114" s="411">
        <f t="shared" si="54"/>
        <v>0</v>
      </c>
      <c r="F114" s="411">
        <f t="shared" si="54"/>
        <v>0</v>
      </c>
      <c r="G114" s="411">
        <f t="shared" si="54"/>
        <v>0</v>
      </c>
      <c r="H114" s="411">
        <f t="shared" si="54"/>
        <v>0</v>
      </c>
      <c r="I114" s="259">
        <f t="shared" si="1"/>
        <v>0</v>
      </c>
      <c r="J114" s="584" t="str">
        <f t="shared" si="2"/>
        <v/>
      </c>
      <c r="K114" s="651">
        <f>SUM(K115:K116)</f>
        <v>0</v>
      </c>
    </row>
    <row r="115" spans="1:11" ht="12.75" customHeight="1" x14ac:dyDescent="0.2">
      <c r="A115" s="583" t="s">
        <v>1332</v>
      </c>
      <c r="B115" s="170"/>
      <c r="C115" s="758"/>
      <c r="D115" s="763"/>
      <c r="E115" s="743"/>
      <c r="F115" s="743"/>
      <c r="G115" s="743"/>
      <c r="H115" s="743"/>
      <c r="I115" s="45">
        <f t="shared" si="1"/>
        <v>0</v>
      </c>
      <c r="J115" s="125" t="str">
        <f t="shared" si="2"/>
        <v/>
      </c>
      <c r="K115" s="745"/>
    </row>
    <row r="116" spans="1:11" ht="12.75" customHeight="1" x14ac:dyDescent="0.2">
      <c r="A116" s="583" t="s">
        <v>1333</v>
      </c>
      <c r="B116" s="170"/>
      <c r="C116" s="758"/>
      <c r="D116" s="763"/>
      <c r="E116" s="743"/>
      <c r="F116" s="743"/>
      <c r="G116" s="743"/>
      <c r="H116" s="743"/>
      <c r="I116" s="45">
        <f>H116-G116</f>
        <v>0</v>
      </c>
      <c r="J116" s="125" t="str">
        <f>IF(I116=0,"",I116/H116)</f>
        <v/>
      </c>
      <c r="K116" s="745"/>
    </row>
    <row r="117" spans="1:11" ht="12.75" customHeight="1" x14ac:dyDescent="0.2">
      <c r="A117" s="951" t="s">
        <v>692</v>
      </c>
      <c r="B117" s="170"/>
      <c r="C117" s="585">
        <f t="shared" ref="C117:H117" si="55">+C118+C130</f>
        <v>6409506.2927598981</v>
      </c>
      <c r="D117" s="586">
        <f t="shared" si="55"/>
        <v>28934000</v>
      </c>
      <c r="E117" s="587">
        <f t="shared" si="55"/>
        <v>0</v>
      </c>
      <c r="F117" s="587">
        <f t="shared" si="55"/>
        <v>2411166.6666666665</v>
      </c>
      <c r="G117" s="587">
        <f t="shared" si="55"/>
        <v>9644666.666666666</v>
      </c>
      <c r="H117" s="587">
        <f t="shared" si="55"/>
        <v>9644666.666666666</v>
      </c>
      <c r="I117" s="587">
        <f t="shared" si="1"/>
        <v>0</v>
      </c>
      <c r="J117" s="588" t="str">
        <f t="shared" si="2"/>
        <v/>
      </c>
      <c r="K117" s="589">
        <f>+K118+K130</f>
        <v>28934000</v>
      </c>
    </row>
    <row r="118" spans="1:11" ht="12.75" customHeight="1" x14ac:dyDescent="0.2">
      <c r="A118" s="521" t="s">
        <v>1335</v>
      </c>
      <c r="B118" s="170"/>
      <c r="C118" s="657">
        <f t="shared" ref="C118:H118" si="56">SUM(C119:C129)</f>
        <v>6200263.2724808287</v>
      </c>
      <c r="D118" s="658">
        <f t="shared" si="56"/>
        <v>28725000</v>
      </c>
      <c r="E118" s="411">
        <f t="shared" si="56"/>
        <v>0</v>
      </c>
      <c r="F118" s="411">
        <f t="shared" si="56"/>
        <v>2393750</v>
      </c>
      <c r="G118" s="411">
        <f t="shared" si="56"/>
        <v>9575000</v>
      </c>
      <c r="H118" s="411">
        <f t="shared" si="56"/>
        <v>9575000</v>
      </c>
      <c r="I118" s="259">
        <f t="shared" si="1"/>
        <v>0</v>
      </c>
      <c r="J118" s="584" t="str">
        <f t="shared" si="2"/>
        <v/>
      </c>
      <c r="K118" s="651">
        <f>SUM(K119:K129)</f>
        <v>28725000</v>
      </c>
    </row>
    <row r="119" spans="1:11" ht="12.75" customHeight="1" x14ac:dyDescent="0.2">
      <c r="A119" s="583" t="s">
        <v>1336</v>
      </c>
      <c r="B119" s="170"/>
      <c r="C119" s="758">
        <v>4528374.4485785291</v>
      </c>
      <c r="D119" s="763">
        <v>4528000</v>
      </c>
      <c r="E119" s="743">
        <v>0</v>
      </c>
      <c r="F119" s="743">
        <f t="shared" ref="F119:F129" si="57">D119/12</f>
        <v>377333.33333333331</v>
      </c>
      <c r="G119" s="743">
        <f t="shared" ref="G119:G129" si="58">H119</f>
        <v>1509333.3333333333</v>
      </c>
      <c r="H119" s="743">
        <f t="shared" ref="H119:H129" si="59">D119/12*4</f>
        <v>1509333.3333333333</v>
      </c>
      <c r="I119" s="45">
        <f t="shared" si="1"/>
        <v>0</v>
      </c>
      <c r="J119" s="125" t="str">
        <f t="shared" si="2"/>
        <v/>
      </c>
      <c r="K119" s="745">
        <f>D119</f>
        <v>4528000</v>
      </c>
    </row>
    <row r="120" spans="1:11" ht="12.75" customHeight="1" x14ac:dyDescent="0.2">
      <c r="A120" s="583" t="s">
        <v>1337</v>
      </c>
      <c r="B120" s="170"/>
      <c r="C120" s="758">
        <v>330565.5555232754</v>
      </c>
      <c r="D120" s="763">
        <v>331000</v>
      </c>
      <c r="E120" s="743">
        <v>0</v>
      </c>
      <c r="F120" s="743">
        <f t="shared" si="57"/>
        <v>27583.333333333332</v>
      </c>
      <c r="G120" s="743">
        <f t="shared" si="58"/>
        <v>110333.33333333333</v>
      </c>
      <c r="H120" s="743">
        <f t="shared" si="59"/>
        <v>110333.33333333333</v>
      </c>
      <c r="I120" s="45">
        <f t="shared" si="1"/>
        <v>0</v>
      </c>
      <c r="J120" s="125" t="str">
        <f t="shared" si="2"/>
        <v/>
      </c>
      <c r="K120" s="745">
        <f t="shared" ref="K120:K129" si="60">D120</f>
        <v>331000</v>
      </c>
    </row>
    <row r="121" spans="1:11" ht="12.75" customHeight="1" x14ac:dyDescent="0.2">
      <c r="A121" s="583" t="s">
        <v>1338</v>
      </c>
      <c r="B121" s="170"/>
      <c r="C121" s="758">
        <v>0</v>
      </c>
      <c r="D121" s="763">
        <v>0</v>
      </c>
      <c r="E121" s="743">
        <v>0</v>
      </c>
      <c r="F121" s="743">
        <f t="shared" si="57"/>
        <v>0</v>
      </c>
      <c r="G121" s="743">
        <f t="shared" si="58"/>
        <v>0</v>
      </c>
      <c r="H121" s="743">
        <f t="shared" si="59"/>
        <v>0</v>
      </c>
      <c r="I121" s="45">
        <f t="shared" si="1"/>
        <v>0</v>
      </c>
      <c r="J121" s="125" t="str">
        <f t="shared" si="2"/>
        <v/>
      </c>
      <c r="K121" s="745">
        <f t="shared" si="60"/>
        <v>0</v>
      </c>
    </row>
    <row r="122" spans="1:11" ht="12.75" customHeight="1" x14ac:dyDescent="0.2">
      <c r="A122" s="583" t="s">
        <v>1339</v>
      </c>
      <c r="B122" s="170"/>
      <c r="C122" s="758">
        <v>373628.73360190185</v>
      </c>
      <c r="D122" s="763">
        <v>374000</v>
      </c>
      <c r="E122" s="743">
        <v>0</v>
      </c>
      <c r="F122" s="743">
        <f t="shared" si="57"/>
        <v>31166.666666666668</v>
      </c>
      <c r="G122" s="743">
        <f t="shared" si="58"/>
        <v>124666.66666666667</v>
      </c>
      <c r="H122" s="743">
        <f t="shared" si="59"/>
        <v>124666.66666666667</v>
      </c>
      <c r="I122" s="45">
        <f t="shared" si="1"/>
        <v>0</v>
      </c>
      <c r="J122" s="125" t="str">
        <f t="shared" si="2"/>
        <v/>
      </c>
      <c r="K122" s="745">
        <f t="shared" si="60"/>
        <v>374000</v>
      </c>
    </row>
    <row r="123" spans="1:11" ht="12.75" customHeight="1" x14ac:dyDescent="0.2">
      <c r="A123" s="583" t="s">
        <v>1340</v>
      </c>
      <c r="B123" s="170"/>
      <c r="C123" s="758">
        <v>967694.53477712267</v>
      </c>
      <c r="D123" s="763">
        <v>968000</v>
      </c>
      <c r="E123" s="743">
        <v>0</v>
      </c>
      <c r="F123" s="743">
        <f t="shared" si="57"/>
        <v>80666.666666666672</v>
      </c>
      <c r="G123" s="743">
        <f t="shared" si="58"/>
        <v>322666.66666666669</v>
      </c>
      <c r="H123" s="743">
        <f t="shared" si="59"/>
        <v>322666.66666666669</v>
      </c>
      <c r="I123" s="45">
        <f t="shared" si="1"/>
        <v>0</v>
      </c>
      <c r="J123" s="125" t="str">
        <f t="shared" si="2"/>
        <v/>
      </c>
      <c r="K123" s="745">
        <f t="shared" si="60"/>
        <v>968000</v>
      </c>
    </row>
    <row r="124" spans="1:11" ht="12.75" customHeight="1" x14ac:dyDescent="0.2">
      <c r="A124" s="583" t="s">
        <v>1341</v>
      </c>
      <c r="B124" s="170"/>
      <c r="C124" s="758">
        <v>0</v>
      </c>
      <c r="D124" s="743">
        <v>0</v>
      </c>
      <c r="E124" s="743">
        <v>0</v>
      </c>
      <c r="F124" s="743">
        <f t="shared" si="57"/>
        <v>0</v>
      </c>
      <c r="G124" s="743">
        <f t="shared" si="58"/>
        <v>0</v>
      </c>
      <c r="H124" s="743">
        <f t="shared" si="59"/>
        <v>0</v>
      </c>
      <c r="I124" s="45">
        <f t="shared" si="1"/>
        <v>0</v>
      </c>
      <c r="J124" s="125" t="str">
        <f t="shared" si="2"/>
        <v/>
      </c>
      <c r="K124" s="745">
        <f t="shared" si="60"/>
        <v>0</v>
      </c>
    </row>
    <row r="125" spans="1:11" ht="12.75" customHeight="1" x14ac:dyDescent="0.2">
      <c r="A125" s="583" t="s">
        <v>1342</v>
      </c>
      <c r="B125" s="170"/>
      <c r="C125" s="758">
        <v>0</v>
      </c>
      <c r="D125" s="743">
        <v>0</v>
      </c>
      <c r="E125" s="743">
        <v>0</v>
      </c>
      <c r="F125" s="743">
        <f t="shared" si="57"/>
        <v>0</v>
      </c>
      <c r="G125" s="743">
        <f t="shared" si="58"/>
        <v>0</v>
      </c>
      <c r="H125" s="743">
        <f t="shared" si="59"/>
        <v>0</v>
      </c>
      <c r="I125" s="45">
        <f t="shared" si="1"/>
        <v>0</v>
      </c>
      <c r="J125" s="125" t="str">
        <f t="shared" si="2"/>
        <v/>
      </c>
      <c r="K125" s="745">
        <f t="shared" si="60"/>
        <v>0</v>
      </c>
    </row>
    <row r="126" spans="1:11" ht="12.75" customHeight="1" x14ac:dyDescent="0.2">
      <c r="A126" s="583" t="s">
        <v>1343</v>
      </c>
      <c r="B126" s="170"/>
      <c r="C126" s="758">
        <v>0</v>
      </c>
      <c r="D126" s="743">
        <v>0</v>
      </c>
      <c r="E126" s="743">
        <v>0</v>
      </c>
      <c r="F126" s="743">
        <f t="shared" si="57"/>
        <v>0</v>
      </c>
      <c r="G126" s="743">
        <f t="shared" si="58"/>
        <v>0</v>
      </c>
      <c r="H126" s="743">
        <f t="shared" si="59"/>
        <v>0</v>
      </c>
      <c r="I126" s="45">
        <f t="shared" si="1"/>
        <v>0</v>
      </c>
      <c r="J126" s="125" t="str">
        <f t="shared" si="2"/>
        <v/>
      </c>
      <c r="K126" s="745">
        <f t="shared" si="60"/>
        <v>0</v>
      </c>
    </row>
    <row r="127" spans="1:11" ht="12.75" customHeight="1" x14ac:dyDescent="0.2">
      <c r="A127" s="583" t="s">
        <v>1344</v>
      </c>
      <c r="B127" s="170"/>
      <c r="C127" s="758">
        <v>0</v>
      </c>
      <c r="D127" s="743">
        <v>0</v>
      </c>
      <c r="E127" s="743">
        <v>0</v>
      </c>
      <c r="F127" s="743">
        <f t="shared" si="57"/>
        <v>0</v>
      </c>
      <c r="G127" s="743">
        <f t="shared" si="58"/>
        <v>0</v>
      </c>
      <c r="H127" s="743">
        <f t="shared" si="59"/>
        <v>0</v>
      </c>
      <c r="I127" s="45">
        <f t="shared" si="1"/>
        <v>0</v>
      </c>
      <c r="J127" s="125" t="str">
        <f t="shared" si="2"/>
        <v/>
      </c>
      <c r="K127" s="745">
        <f t="shared" si="60"/>
        <v>0</v>
      </c>
    </row>
    <row r="128" spans="1:11" ht="12.75" customHeight="1" x14ac:dyDescent="0.2">
      <c r="A128" s="583" t="s">
        <v>1345</v>
      </c>
      <c r="B128" s="170"/>
      <c r="C128" s="758">
        <v>0</v>
      </c>
      <c r="D128" s="743">
        <v>0</v>
      </c>
      <c r="E128" s="743">
        <v>0</v>
      </c>
      <c r="F128" s="743">
        <f t="shared" si="57"/>
        <v>0</v>
      </c>
      <c r="G128" s="743">
        <f t="shared" si="58"/>
        <v>0</v>
      </c>
      <c r="H128" s="743">
        <f t="shared" si="59"/>
        <v>0</v>
      </c>
      <c r="I128" s="45">
        <f t="shared" si="1"/>
        <v>0</v>
      </c>
      <c r="J128" s="125" t="str">
        <f t="shared" si="2"/>
        <v/>
      </c>
      <c r="K128" s="745">
        <f t="shared" si="60"/>
        <v>0</v>
      </c>
    </row>
    <row r="129" spans="1:11" ht="12.75" customHeight="1" x14ac:dyDescent="0.2">
      <c r="A129" s="583" t="s">
        <v>1256</v>
      </c>
      <c r="B129" s="170"/>
      <c r="C129" s="758">
        <v>0</v>
      </c>
      <c r="D129" s="743">
        <v>22524000</v>
      </c>
      <c r="E129" s="743">
        <v>0</v>
      </c>
      <c r="F129" s="743">
        <f t="shared" si="57"/>
        <v>1877000</v>
      </c>
      <c r="G129" s="743">
        <f t="shared" si="58"/>
        <v>7508000</v>
      </c>
      <c r="H129" s="743">
        <f t="shared" si="59"/>
        <v>7508000</v>
      </c>
      <c r="I129" s="45">
        <f t="shared" si="1"/>
        <v>0</v>
      </c>
      <c r="J129" s="125" t="str">
        <f t="shared" si="2"/>
        <v/>
      </c>
      <c r="K129" s="745">
        <f t="shared" si="60"/>
        <v>22524000</v>
      </c>
    </row>
    <row r="130" spans="1:11" ht="12.75" customHeight="1" x14ac:dyDescent="0.2">
      <c r="A130" s="521" t="s">
        <v>733</v>
      </c>
      <c r="B130" s="170"/>
      <c r="C130" s="657">
        <f t="shared" ref="C130:H130" si="61">SUM(C131:C133)</f>
        <v>209243.02027906966</v>
      </c>
      <c r="D130" s="658">
        <f t="shared" si="61"/>
        <v>209000</v>
      </c>
      <c r="E130" s="411">
        <f t="shared" si="61"/>
        <v>0</v>
      </c>
      <c r="F130" s="411">
        <f t="shared" si="61"/>
        <v>17416.666666666668</v>
      </c>
      <c r="G130" s="411">
        <f t="shared" si="61"/>
        <v>69666.666666666672</v>
      </c>
      <c r="H130" s="411">
        <f t="shared" si="61"/>
        <v>69666.666666666672</v>
      </c>
      <c r="I130" s="259">
        <f t="shared" si="1"/>
        <v>0</v>
      </c>
      <c r="J130" s="584" t="str">
        <f t="shared" si="2"/>
        <v/>
      </c>
      <c r="K130" s="651">
        <f>SUM(K131:K133)</f>
        <v>209000</v>
      </c>
    </row>
    <row r="131" spans="1:11" ht="12.75" customHeight="1" x14ac:dyDescent="0.2">
      <c r="A131" s="583" t="s">
        <v>1346</v>
      </c>
      <c r="B131" s="170"/>
      <c r="C131" s="758">
        <v>131923.03225254445</v>
      </c>
      <c r="D131" s="763">
        <v>132000</v>
      </c>
      <c r="E131" s="743"/>
      <c r="F131" s="743">
        <f t="shared" ref="F131:F132" si="62">D131/12</f>
        <v>11000</v>
      </c>
      <c r="G131" s="743">
        <f t="shared" ref="G131:G132" si="63">H131</f>
        <v>44000</v>
      </c>
      <c r="H131" s="743">
        <f t="shared" ref="H131:H132" si="64">D131/12*4</f>
        <v>44000</v>
      </c>
      <c r="I131" s="45">
        <f t="shared" si="1"/>
        <v>0</v>
      </c>
      <c r="J131" s="125" t="str">
        <f t="shared" si="2"/>
        <v/>
      </c>
      <c r="K131" s="745">
        <f>D131</f>
        <v>132000</v>
      </c>
    </row>
    <row r="132" spans="1:11" ht="12.75" customHeight="1" x14ac:dyDescent="0.2">
      <c r="A132" s="583" t="s">
        <v>1347</v>
      </c>
      <c r="B132" s="170"/>
      <c r="C132" s="758">
        <v>77319.988026525229</v>
      </c>
      <c r="D132" s="763">
        <v>77000</v>
      </c>
      <c r="E132" s="743"/>
      <c r="F132" s="743">
        <f t="shared" si="62"/>
        <v>6416.666666666667</v>
      </c>
      <c r="G132" s="743">
        <f t="shared" si="63"/>
        <v>25666.666666666668</v>
      </c>
      <c r="H132" s="743">
        <f t="shared" si="64"/>
        <v>25666.666666666668</v>
      </c>
      <c r="I132" s="45">
        <f t="shared" si="1"/>
        <v>0</v>
      </c>
      <c r="J132" s="125" t="str">
        <f t="shared" si="2"/>
        <v/>
      </c>
      <c r="K132" s="745">
        <f>D132</f>
        <v>77000</v>
      </c>
    </row>
    <row r="133" spans="1:11" ht="12.75" customHeight="1" x14ac:dyDescent="0.2">
      <c r="A133" s="583" t="s">
        <v>1256</v>
      </c>
      <c r="B133" s="170"/>
      <c r="C133" s="758">
        <v>0</v>
      </c>
      <c r="D133" s="763"/>
      <c r="E133" s="743"/>
      <c r="F133" s="743">
        <v>0</v>
      </c>
      <c r="G133" s="743">
        <f>H133</f>
        <v>0</v>
      </c>
      <c r="H133" s="743">
        <f>E133</f>
        <v>0</v>
      </c>
      <c r="I133" s="45">
        <f t="shared" si="1"/>
        <v>0</v>
      </c>
      <c r="J133" s="125" t="str">
        <f t="shared" si="2"/>
        <v/>
      </c>
      <c r="K133" s="745">
        <f>D133</f>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65">SUM(C136:C136)</f>
        <v>0</v>
      </c>
      <c r="D135" s="586">
        <f t="shared" si="65"/>
        <v>0</v>
      </c>
      <c r="E135" s="587">
        <f t="shared" si="65"/>
        <v>0</v>
      </c>
      <c r="F135" s="587">
        <f t="shared" si="65"/>
        <v>0</v>
      </c>
      <c r="G135" s="587">
        <f t="shared" si="65"/>
        <v>0</v>
      </c>
      <c r="H135" s="587">
        <f t="shared" si="65"/>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66">IF(I137=0,"",I137/H137)</f>
        <v/>
      </c>
      <c r="K137" s="145"/>
    </row>
    <row r="138" spans="1:11" s="101" customFormat="1" ht="12.75" customHeight="1" x14ac:dyDescent="0.2">
      <c r="A138" s="553" t="s">
        <v>1349</v>
      </c>
      <c r="B138" s="172"/>
      <c r="C138" s="952">
        <f t="shared" ref="C138:H138" si="67">SUM(C139:C140)</f>
        <v>0</v>
      </c>
      <c r="D138" s="953">
        <f t="shared" si="67"/>
        <v>0</v>
      </c>
      <c r="E138" s="954">
        <f t="shared" si="67"/>
        <v>0</v>
      </c>
      <c r="F138" s="954">
        <f t="shared" si="67"/>
        <v>0</v>
      </c>
      <c r="G138" s="954">
        <f t="shared" si="67"/>
        <v>0</v>
      </c>
      <c r="H138" s="954">
        <f t="shared" si="67"/>
        <v>0</v>
      </c>
      <c r="I138" s="954">
        <f t="shared" ref="I138:I146" si="68">H138-G138</f>
        <v>0</v>
      </c>
      <c r="J138" s="327" t="str">
        <f t="shared" si="66"/>
        <v/>
      </c>
      <c r="K138" s="955">
        <f>SUM(K139:K140)</f>
        <v>0</v>
      </c>
    </row>
    <row r="139" spans="1:11" ht="12.75" customHeight="1" x14ac:dyDescent="0.2">
      <c r="A139" s="520" t="s">
        <v>1350</v>
      </c>
      <c r="B139" s="170"/>
      <c r="C139" s="758"/>
      <c r="D139" s="763"/>
      <c r="E139" s="743"/>
      <c r="F139" s="743"/>
      <c r="G139" s="743"/>
      <c r="H139" s="743"/>
      <c r="I139" s="45">
        <f t="shared" si="68"/>
        <v>0</v>
      </c>
      <c r="J139" s="125" t="str">
        <f t="shared" si="66"/>
        <v/>
      </c>
      <c r="K139" s="745"/>
    </row>
    <row r="140" spans="1:11" ht="12.75" customHeight="1" x14ac:dyDescent="0.2">
      <c r="A140" s="520" t="s">
        <v>1351</v>
      </c>
      <c r="B140" s="170"/>
      <c r="C140" s="657">
        <f t="shared" ref="C140:H140" si="69">SUM(C141:C146)</f>
        <v>0</v>
      </c>
      <c r="D140" s="658">
        <f t="shared" si="69"/>
        <v>0</v>
      </c>
      <c r="E140" s="411">
        <f t="shared" si="69"/>
        <v>0</v>
      </c>
      <c r="F140" s="411">
        <f t="shared" si="69"/>
        <v>0</v>
      </c>
      <c r="G140" s="411">
        <f t="shared" si="69"/>
        <v>0</v>
      </c>
      <c r="H140" s="411">
        <f t="shared" si="69"/>
        <v>0</v>
      </c>
      <c r="I140" s="259">
        <f t="shared" si="68"/>
        <v>0</v>
      </c>
      <c r="J140" s="584" t="str">
        <f t="shared" si="66"/>
        <v/>
      </c>
      <c r="K140" s="651">
        <f>SUM(K141:K146)</f>
        <v>0</v>
      </c>
    </row>
    <row r="141" spans="1:11" ht="12.75" customHeight="1" x14ac:dyDescent="0.2">
      <c r="A141" s="583" t="s">
        <v>1352</v>
      </c>
      <c r="B141" s="170"/>
      <c r="C141" s="758"/>
      <c r="D141" s="763"/>
      <c r="E141" s="743"/>
      <c r="F141" s="743"/>
      <c r="G141" s="743"/>
      <c r="H141" s="743"/>
      <c r="I141" s="45">
        <f t="shared" si="68"/>
        <v>0</v>
      </c>
      <c r="J141" s="125" t="str">
        <f t="shared" si="66"/>
        <v/>
      </c>
      <c r="K141" s="745"/>
    </row>
    <row r="142" spans="1:11" ht="12.75" customHeight="1" x14ac:dyDescent="0.2">
      <c r="A142" s="583" t="s">
        <v>1353</v>
      </c>
      <c r="B142" s="170"/>
      <c r="C142" s="758"/>
      <c r="D142" s="763"/>
      <c r="E142" s="743"/>
      <c r="F142" s="743"/>
      <c r="G142" s="743"/>
      <c r="H142" s="743"/>
      <c r="I142" s="45">
        <f t="shared" si="68"/>
        <v>0</v>
      </c>
      <c r="J142" s="125" t="str">
        <f t="shared" si="66"/>
        <v/>
      </c>
      <c r="K142" s="745"/>
    </row>
    <row r="143" spans="1:11" ht="12.75" customHeight="1" x14ac:dyDescent="0.2">
      <c r="A143" s="583" t="s">
        <v>1354</v>
      </c>
      <c r="B143" s="170"/>
      <c r="C143" s="758"/>
      <c r="D143" s="763"/>
      <c r="E143" s="743"/>
      <c r="F143" s="743"/>
      <c r="G143" s="743"/>
      <c r="H143" s="743"/>
      <c r="I143" s="45">
        <f t="shared" si="68"/>
        <v>0</v>
      </c>
      <c r="J143" s="125" t="str">
        <f t="shared" si="66"/>
        <v/>
      </c>
      <c r="K143" s="745"/>
    </row>
    <row r="144" spans="1:11" ht="12.75" customHeight="1" x14ac:dyDescent="0.2">
      <c r="A144" s="583" t="s">
        <v>1355</v>
      </c>
      <c r="B144" s="170"/>
      <c r="C144" s="758"/>
      <c r="D144" s="763"/>
      <c r="E144" s="743"/>
      <c r="F144" s="743"/>
      <c r="G144" s="743"/>
      <c r="H144" s="743"/>
      <c r="I144" s="45">
        <f t="shared" si="68"/>
        <v>0</v>
      </c>
      <c r="J144" s="125" t="str">
        <f t="shared" si="66"/>
        <v/>
      </c>
      <c r="K144" s="745"/>
    </row>
    <row r="145" spans="1:12" ht="12.75" customHeight="1" x14ac:dyDescent="0.2">
      <c r="A145" s="583" t="s">
        <v>1356</v>
      </c>
      <c r="B145" s="170"/>
      <c r="C145" s="758"/>
      <c r="D145" s="763"/>
      <c r="E145" s="743"/>
      <c r="F145" s="743"/>
      <c r="G145" s="743"/>
      <c r="H145" s="743"/>
      <c r="I145" s="45">
        <f t="shared" si="68"/>
        <v>0</v>
      </c>
      <c r="J145" s="125" t="str">
        <f t="shared" si="66"/>
        <v/>
      </c>
      <c r="K145" s="745"/>
    </row>
    <row r="146" spans="1:12" ht="12.75" customHeight="1" x14ac:dyDescent="0.2">
      <c r="A146" s="583" t="s">
        <v>1357</v>
      </c>
      <c r="B146" s="170"/>
      <c r="C146" s="758"/>
      <c r="D146" s="763"/>
      <c r="E146" s="743"/>
      <c r="F146" s="743"/>
      <c r="G146" s="743"/>
      <c r="H146" s="743"/>
      <c r="I146" s="45">
        <f t="shared" si="68"/>
        <v>0</v>
      </c>
      <c r="J146" s="125" t="str">
        <f t="shared" si="66"/>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70">SUM(C149:C149)</f>
        <v>1895609.0353719697</v>
      </c>
      <c r="D148" s="586">
        <f t="shared" si="70"/>
        <v>2172000</v>
      </c>
      <c r="E148" s="587">
        <f t="shared" si="70"/>
        <v>0</v>
      </c>
      <c r="F148" s="587">
        <f t="shared" si="70"/>
        <v>181000</v>
      </c>
      <c r="G148" s="587">
        <f t="shared" si="70"/>
        <v>0</v>
      </c>
      <c r="H148" s="587">
        <f t="shared" si="70"/>
        <v>0</v>
      </c>
      <c r="I148" s="587">
        <f>H148-G148</f>
        <v>0</v>
      </c>
      <c r="J148" s="327" t="str">
        <f>IF(I148=0,"",I148/H148)</f>
        <v/>
      </c>
      <c r="K148" s="589">
        <f>SUM(K149)</f>
        <v>2172000</v>
      </c>
    </row>
    <row r="149" spans="1:12" ht="12.75" customHeight="1" x14ac:dyDescent="0.2">
      <c r="A149" s="521" t="s">
        <v>1358</v>
      </c>
      <c r="B149" s="170"/>
      <c r="C149" s="758">
        <v>1895609.0353719697</v>
      </c>
      <c r="D149" s="763">
        <v>2172000</v>
      </c>
      <c r="E149" s="743">
        <v>0</v>
      </c>
      <c r="F149" s="743">
        <f t="shared" ref="F149" si="71">D149/12</f>
        <v>181000</v>
      </c>
      <c r="G149" s="743">
        <f>H149</f>
        <v>0</v>
      </c>
      <c r="H149" s="743">
        <f>E149/12*5</f>
        <v>0</v>
      </c>
      <c r="I149" s="45">
        <f>H149-G149</f>
        <v>0</v>
      </c>
      <c r="J149" s="125" t="str">
        <f>IF(I149=0,"",I149/H149)</f>
        <v/>
      </c>
      <c r="K149" s="745">
        <f>D149</f>
        <v>2172000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72">SUM(C152:C152)</f>
        <v>5728879.2470829552</v>
      </c>
      <c r="D151" s="586">
        <f t="shared" si="72"/>
        <v>6565000</v>
      </c>
      <c r="E151" s="587">
        <f t="shared" si="72"/>
        <v>0</v>
      </c>
      <c r="F151" s="587">
        <f t="shared" si="72"/>
        <v>547083.33333333337</v>
      </c>
      <c r="G151" s="587">
        <f t="shared" si="72"/>
        <v>0</v>
      </c>
      <c r="H151" s="587">
        <f t="shared" si="72"/>
        <v>0</v>
      </c>
      <c r="I151" s="587">
        <f>H151-G151</f>
        <v>0</v>
      </c>
      <c r="J151" s="327" t="str">
        <f>IF(I151=0,"",I151/H151)</f>
        <v/>
      </c>
      <c r="K151" s="589">
        <f>SUM(K152)</f>
        <v>6565000</v>
      </c>
    </row>
    <row r="152" spans="1:12" ht="12.75" customHeight="1" x14ac:dyDescent="0.2">
      <c r="A152" s="521" t="s">
        <v>1359</v>
      </c>
      <c r="B152" s="170"/>
      <c r="C152" s="758">
        <v>5728879.2470829552</v>
      </c>
      <c r="D152" s="763">
        <v>6565000</v>
      </c>
      <c r="E152" s="743">
        <v>0</v>
      </c>
      <c r="F152" s="743">
        <f t="shared" ref="F152" si="73">D152/12</f>
        <v>547083.33333333337</v>
      </c>
      <c r="G152" s="743">
        <f>H152</f>
        <v>0</v>
      </c>
      <c r="H152" s="743">
        <f>E152/12*5</f>
        <v>0</v>
      </c>
      <c r="I152" s="45">
        <f>H152-G152</f>
        <v>0</v>
      </c>
      <c r="J152" s="125" t="str">
        <f>IF(I152=0,"",I152/H152)</f>
        <v/>
      </c>
      <c r="K152" s="745">
        <f>D152</f>
        <v>6565000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74">SUM(C155:C155)</f>
        <v>2883898.297753829</v>
      </c>
      <c r="D154" s="586">
        <f t="shared" si="74"/>
        <v>3305000</v>
      </c>
      <c r="E154" s="587">
        <f t="shared" si="74"/>
        <v>0</v>
      </c>
      <c r="F154" s="587">
        <f t="shared" si="74"/>
        <v>275416.66666666669</v>
      </c>
      <c r="G154" s="587">
        <f t="shared" si="74"/>
        <v>0</v>
      </c>
      <c r="H154" s="587">
        <f t="shared" si="74"/>
        <v>0</v>
      </c>
      <c r="I154" s="587">
        <f>H154-G154</f>
        <v>0</v>
      </c>
      <c r="J154" s="327" t="str">
        <f>IF(I154=0,"",I154/H154)</f>
        <v/>
      </c>
      <c r="K154" s="589">
        <f>SUM(K155)</f>
        <v>3305000</v>
      </c>
    </row>
    <row r="155" spans="1:12" ht="12.75" customHeight="1" x14ac:dyDescent="0.2">
      <c r="A155" s="521" t="s">
        <v>1360</v>
      </c>
      <c r="B155" s="170"/>
      <c r="C155" s="758">
        <v>2883898.297753829</v>
      </c>
      <c r="D155" s="763">
        <v>3305000</v>
      </c>
      <c r="E155" s="743">
        <v>0</v>
      </c>
      <c r="F155" s="743">
        <f t="shared" ref="F155" si="75">D155/12</f>
        <v>275416.66666666669</v>
      </c>
      <c r="G155" s="743">
        <f>H155</f>
        <v>0</v>
      </c>
      <c r="H155" s="743">
        <f>E155/12*5</f>
        <v>0</v>
      </c>
      <c r="I155" s="45">
        <f>H155-G155</f>
        <v>0</v>
      </c>
      <c r="J155" s="125" t="str">
        <f>IF(I155=0,"",I155/H155)</f>
        <v/>
      </c>
      <c r="K155" s="745">
        <f>D155</f>
        <v>3305000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76">SUM(C158:C158)</f>
        <v>19789208.987791453</v>
      </c>
      <c r="D157" s="586">
        <f t="shared" si="76"/>
        <v>22677000</v>
      </c>
      <c r="E157" s="587">
        <f t="shared" si="76"/>
        <v>0</v>
      </c>
      <c r="F157" s="587">
        <f t="shared" si="76"/>
        <v>1889750</v>
      </c>
      <c r="G157" s="587">
        <f t="shared" si="76"/>
        <v>0</v>
      </c>
      <c r="H157" s="587">
        <f t="shared" si="76"/>
        <v>0</v>
      </c>
      <c r="I157" s="587">
        <f>H157-G157</f>
        <v>0</v>
      </c>
      <c r="J157" s="327" t="str">
        <f>IF(I157=0,"",I157/H157)</f>
        <v/>
      </c>
      <c r="K157" s="589">
        <f>SUM(K158)</f>
        <v>22677000</v>
      </c>
    </row>
    <row r="158" spans="1:12" ht="12.75" customHeight="1" x14ac:dyDescent="0.2">
      <c r="A158" s="521" t="s">
        <v>1361</v>
      </c>
      <c r="B158" s="170"/>
      <c r="C158" s="758">
        <v>19789208.987791453</v>
      </c>
      <c r="D158" s="763">
        <v>22677000</v>
      </c>
      <c r="E158" s="743">
        <v>0</v>
      </c>
      <c r="F158" s="743">
        <f t="shared" ref="F158" si="77">D158/12</f>
        <v>1889750</v>
      </c>
      <c r="G158" s="743">
        <f>H158</f>
        <v>0</v>
      </c>
      <c r="H158" s="743">
        <f>E158/12*5</f>
        <v>0</v>
      </c>
      <c r="I158" s="45">
        <f>H158-G158</f>
        <v>0</v>
      </c>
      <c r="J158" s="125" t="str">
        <f>IF(I158=0,"",I158/H158)</f>
        <v/>
      </c>
      <c r="K158" s="745">
        <f>D158</f>
        <v>22677000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78">SUM(C161:C161)</f>
        <v>0</v>
      </c>
      <c r="D160" s="586">
        <f t="shared" si="78"/>
        <v>0</v>
      </c>
      <c r="E160" s="587">
        <f t="shared" si="78"/>
        <v>0</v>
      </c>
      <c r="F160" s="587">
        <f t="shared" si="78"/>
        <v>0</v>
      </c>
      <c r="G160" s="587">
        <f t="shared" si="78"/>
        <v>0</v>
      </c>
      <c r="H160" s="587">
        <f t="shared" si="78"/>
        <v>0</v>
      </c>
      <c r="I160" s="587">
        <f>H160-G160</f>
        <v>0</v>
      </c>
      <c r="J160" s="327" t="str">
        <f>IF(I160=0,"",I160/H160)</f>
        <v/>
      </c>
      <c r="K160" s="589">
        <f>SUM(K161)</f>
        <v>0</v>
      </c>
    </row>
    <row r="161" spans="1:11" ht="12.75" customHeight="1" x14ac:dyDescent="0.2">
      <c r="A161" s="521" t="s">
        <v>572</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79">SUM(C164:C164)</f>
        <v>0</v>
      </c>
      <c r="D163" s="586">
        <f t="shared" si="79"/>
        <v>0</v>
      </c>
      <c r="E163" s="587">
        <f t="shared" si="79"/>
        <v>0</v>
      </c>
      <c r="F163" s="587">
        <f t="shared" si="79"/>
        <v>0</v>
      </c>
      <c r="G163" s="587">
        <f t="shared" si="79"/>
        <v>0</v>
      </c>
      <c r="H163" s="587">
        <f t="shared" si="79"/>
        <v>0</v>
      </c>
      <c r="I163" s="587">
        <f>H163-G163</f>
        <v>0</v>
      </c>
      <c r="J163" s="327" t="str">
        <f>IF(I163=0,"",I163/H163)</f>
        <v/>
      </c>
      <c r="K163" s="589">
        <f>SUM(K164)</f>
        <v>0</v>
      </c>
    </row>
    <row r="164" spans="1:11" ht="12.75" customHeight="1" x14ac:dyDescent="0.2">
      <c r="A164" s="521" t="s">
        <v>1362</v>
      </c>
      <c r="B164" s="170"/>
      <c r="C164" s="758"/>
      <c r="D164" s="763"/>
      <c r="E164" s="743"/>
      <c r="F164" s="743"/>
      <c r="G164" s="743"/>
      <c r="H164" s="743"/>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1094</v>
      </c>
      <c r="B166" s="237">
        <v>1</v>
      </c>
      <c r="C166" s="113">
        <f t="shared" ref="C166:H166" si="80">C7+C75+C103+C110+C117+C135+C138+C148+C151+C154+C157+C160+C163</f>
        <v>729667597.54999983</v>
      </c>
      <c r="D166" s="272">
        <f t="shared" si="80"/>
        <v>237000000</v>
      </c>
      <c r="E166" s="56">
        <f t="shared" si="80"/>
        <v>0</v>
      </c>
      <c r="F166" s="56">
        <f t="shared" si="80"/>
        <v>19750000</v>
      </c>
      <c r="G166" s="56">
        <f t="shared" si="80"/>
        <v>67427000</v>
      </c>
      <c r="H166" s="56">
        <f t="shared" si="80"/>
        <v>67427000</v>
      </c>
      <c r="I166" s="56">
        <f t="shared" si="1"/>
        <v>0</v>
      </c>
      <c r="J166" s="293" t="str">
        <f t="shared" si="2"/>
        <v/>
      </c>
      <c r="K166" s="236">
        <f>K7+K75+K103+K110+K117+K135+K138+K148+K151+K154+K157+K160+K163</f>
        <v>237000000</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5" activePane="bottomRight" state="frozen"/>
      <selection pane="topRight"/>
      <selection pane="bottomLeft"/>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6" t="str">
        <f>muni&amp; " - "&amp;S71Se&amp; " - "&amp;Head57</f>
        <v>LIM354 Polokwane - Supporting Table SC13e Monthly Budget Statement - capital expenditure on upgrading of existing assets by asset class - M05 November</v>
      </c>
      <c r="B1" s="1046"/>
      <c r="C1" s="1046"/>
      <c r="D1" s="1046"/>
      <c r="E1" s="1046"/>
      <c r="F1" s="1046"/>
      <c r="G1" s="1046"/>
      <c r="H1" s="1046"/>
      <c r="I1" s="1046"/>
      <c r="J1" s="1046"/>
      <c r="K1" s="1046"/>
    </row>
    <row r="2" spans="1:11" x14ac:dyDescent="0.2">
      <c r="A2" s="1031" t="str">
        <f>desc</f>
        <v>Description</v>
      </c>
      <c r="B2" s="1024" t="str">
        <f>head27</f>
        <v>Ref</v>
      </c>
      <c r="C2" s="140" t="str">
        <f>Head1</f>
        <v>2018/19</v>
      </c>
      <c r="D2" s="246" t="str">
        <f>Head2</f>
        <v>Budget Year 2019/20</v>
      </c>
      <c r="E2" s="230"/>
      <c r="F2" s="230"/>
      <c r="G2" s="230"/>
      <c r="H2" s="230"/>
      <c r="I2" s="230"/>
      <c r="J2" s="230"/>
      <c r="K2" s="231"/>
    </row>
    <row r="3" spans="1:11" ht="20.399999999999999" x14ac:dyDescent="0.2">
      <c r="A3" s="1032"/>
      <c r="B3" s="103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1364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139926680.2313852</v>
      </c>
      <c r="D7" s="611">
        <f t="shared" si="0"/>
        <v>449459345</v>
      </c>
      <c r="E7" s="103">
        <f t="shared" si="0"/>
        <v>433959384</v>
      </c>
      <c r="F7" s="103">
        <f t="shared" si="0"/>
        <v>37785793.386</v>
      </c>
      <c r="G7" s="103">
        <f t="shared" si="0"/>
        <v>69058715.694499806</v>
      </c>
      <c r="H7" s="103">
        <f t="shared" si="0"/>
        <v>180816410</v>
      </c>
      <c r="I7" s="102">
        <f t="shared" ref="I7:I133" si="1">H7-G7</f>
        <v>111757694.30550019</v>
      </c>
      <c r="J7" s="588">
        <f t="shared" ref="J7:J136" si="2">IF(I7=0,"",I7/H7)</f>
        <v>0.61807274187945771</v>
      </c>
      <c r="K7" s="612">
        <f>K8+K13+K17+K27+K38+K45+K53+K63+K69</f>
        <v>433959376</v>
      </c>
    </row>
    <row r="8" spans="1:11" ht="12.75" customHeight="1" x14ac:dyDescent="0.2">
      <c r="A8" s="521" t="s">
        <v>1253</v>
      </c>
      <c r="B8" s="170"/>
      <c r="C8" s="686">
        <f t="shared" ref="C8:H8" si="3">SUM(C9:C12)</f>
        <v>82091563.689385206</v>
      </c>
      <c r="D8" s="618">
        <f t="shared" si="3"/>
        <v>248236472</v>
      </c>
      <c r="E8" s="617">
        <f t="shared" si="3"/>
        <v>238236492</v>
      </c>
      <c r="F8" s="617">
        <f t="shared" si="3"/>
        <v>7104473.3695</v>
      </c>
      <c r="G8" s="617">
        <f t="shared" si="3"/>
        <v>34272378.487499803</v>
      </c>
      <c r="H8" s="617">
        <f t="shared" si="3"/>
        <v>99265205</v>
      </c>
      <c r="I8" s="259">
        <f t="shared" si="1"/>
        <v>64992826.512500197</v>
      </c>
      <c r="J8" s="584">
        <f t="shared" si="2"/>
        <v>0.65473925644439257</v>
      </c>
      <c r="K8" s="619">
        <f>SUM(K9:K12)</f>
        <v>238236492</v>
      </c>
    </row>
    <row r="9" spans="1:11" ht="12.75" customHeight="1" x14ac:dyDescent="0.2">
      <c r="A9" s="583" t="s">
        <v>175</v>
      </c>
      <c r="B9" s="170"/>
      <c r="C9" s="758">
        <v>82091563.689385206</v>
      </c>
      <c r="D9" s="755">
        <v>248236472</v>
      </c>
      <c r="E9" s="743">
        <v>238236492</v>
      </c>
      <c r="F9" s="743">
        <v>7104473.3695</v>
      </c>
      <c r="G9" s="743">
        <f>27167905.1179998+F9</f>
        <v>34272378.487499803</v>
      </c>
      <c r="H9" s="743">
        <f>E9/12*5</f>
        <v>99265205</v>
      </c>
      <c r="I9" s="259">
        <f t="shared" si="1"/>
        <v>64992826.512500197</v>
      </c>
      <c r="J9" s="584">
        <f t="shared" si="2"/>
        <v>0.65473925644439257</v>
      </c>
      <c r="K9" s="745">
        <f>E9</f>
        <v>238236492</v>
      </c>
    </row>
    <row r="10" spans="1:11" ht="12.75" customHeight="1" x14ac:dyDescent="0.2">
      <c r="A10" s="583" t="s">
        <v>1254</v>
      </c>
      <c r="B10" s="170"/>
      <c r="C10" s="758">
        <v>0</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v>0</v>
      </c>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v>0</v>
      </c>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v>0</v>
      </c>
      <c r="D14" s="755">
        <v>0</v>
      </c>
      <c r="E14" s="743">
        <v>0</v>
      </c>
      <c r="F14" s="743">
        <v>0</v>
      </c>
      <c r="G14" s="743">
        <v>0</v>
      </c>
      <c r="H14" s="743">
        <v>0</v>
      </c>
      <c r="I14" s="259">
        <f t="shared" si="1"/>
        <v>0</v>
      </c>
      <c r="J14" s="584" t="str">
        <f t="shared" si="2"/>
        <v/>
      </c>
      <c r="K14" s="745">
        <v>0</v>
      </c>
    </row>
    <row r="15" spans="1:11" ht="12.75" customHeight="1" x14ac:dyDescent="0.2">
      <c r="A15" s="583" t="s">
        <v>1259</v>
      </c>
      <c r="B15" s="170"/>
      <c r="C15" s="758">
        <v>0</v>
      </c>
      <c r="D15" s="755">
        <v>0</v>
      </c>
      <c r="E15" s="743">
        <v>0</v>
      </c>
      <c r="F15" s="743">
        <v>0</v>
      </c>
      <c r="G15" s="743">
        <v>0</v>
      </c>
      <c r="H15" s="743">
        <v>0</v>
      </c>
      <c r="I15" s="259">
        <f t="shared" si="1"/>
        <v>0</v>
      </c>
      <c r="J15" s="584" t="str">
        <f t="shared" si="2"/>
        <v/>
      </c>
      <c r="K15" s="745"/>
    </row>
    <row r="16" spans="1:11" ht="12.75" customHeight="1" x14ac:dyDescent="0.2">
      <c r="A16" s="583" t="s">
        <v>1260</v>
      </c>
      <c r="B16" s="170"/>
      <c r="C16" s="758">
        <v>0</v>
      </c>
      <c r="D16" s="755">
        <v>0</v>
      </c>
      <c r="E16" s="743">
        <v>0</v>
      </c>
      <c r="F16" s="743">
        <v>0</v>
      </c>
      <c r="G16" s="743">
        <v>0</v>
      </c>
      <c r="H16" s="743">
        <v>0</v>
      </c>
      <c r="I16" s="259">
        <f t="shared" si="1"/>
        <v>0</v>
      </c>
      <c r="J16" s="584" t="str">
        <f t="shared" si="2"/>
        <v/>
      </c>
      <c r="K16" s="745">
        <v>0</v>
      </c>
    </row>
    <row r="17" spans="1:11" ht="12.75" customHeight="1" x14ac:dyDescent="0.2">
      <c r="A17" s="521" t="s">
        <v>1261</v>
      </c>
      <c r="B17" s="170"/>
      <c r="C17" s="657">
        <f t="shared" ref="C17:H17" si="5">SUM(C18:C26)</f>
        <v>0</v>
      </c>
      <c r="D17" s="658">
        <f t="shared" si="5"/>
        <v>2000000.0000000002</v>
      </c>
      <c r="E17" s="411">
        <f t="shared" si="5"/>
        <v>2000000</v>
      </c>
      <c r="F17" s="411">
        <f t="shared" si="5"/>
        <v>0</v>
      </c>
      <c r="G17" s="411">
        <f t="shared" si="5"/>
        <v>0</v>
      </c>
      <c r="H17" s="411">
        <f t="shared" si="5"/>
        <v>833333.33333333326</v>
      </c>
      <c r="I17" s="259">
        <f t="shared" si="1"/>
        <v>833333.33333333326</v>
      </c>
      <c r="J17" s="584">
        <f t="shared" si="2"/>
        <v>1</v>
      </c>
      <c r="K17" s="651">
        <f>SUM(K18:K26)</f>
        <v>2000000.0000000002</v>
      </c>
    </row>
    <row r="18" spans="1:11" ht="12.75" customHeight="1" x14ac:dyDescent="0.2">
      <c r="A18" s="583" t="s">
        <v>1262</v>
      </c>
      <c r="B18" s="170"/>
      <c r="C18" s="758">
        <v>0</v>
      </c>
      <c r="D18" s="755">
        <v>0</v>
      </c>
      <c r="E18" s="743">
        <v>0</v>
      </c>
      <c r="F18" s="743">
        <v>0</v>
      </c>
      <c r="G18" s="743">
        <v>0</v>
      </c>
      <c r="H18" s="743">
        <v>0</v>
      </c>
      <c r="I18" s="259">
        <f t="shared" si="1"/>
        <v>0</v>
      </c>
      <c r="J18" s="584" t="str">
        <f t="shared" si="2"/>
        <v/>
      </c>
      <c r="K18" s="745">
        <f>D18</f>
        <v>0</v>
      </c>
    </row>
    <row r="19" spans="1:11" ht="12.75" customHeight="1" x14ac:dyDescent="0.2">
      <c r="A19" s="583" t="s">
        <v>1263</v>
      </c>
      <c r="B19" s="170"/>
      <c r="C19" s="758">
        <v>0</v>
      </c>
      <c r="D19" s="755">
        <v>0</v>
      </c>
      <c r="E19" s="743">
        <v>0</v>
      </c>
      <c r="F19" s="743">
        <v>0</v>
      </c>
      <c r="G19" s="743">
        <v>0</v>
      </c>
      <c r="H19" s="743">
        <f t="shared" ref="H19:H26" si="6">D19/12*7</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0</v>
      </c>
      <c r="D21" s="755">
        <v>2000000.0000000002</v>
      </c>
      <c r="E21" s="743">
        <v>2000000</v>
      </c>
      <c r="F21" s="743"/>
      <c r="G21" s="743">
        <v>0</v>
      </c>
      <c r="H21" s="743">
        <f>E21/12*5</f>
        <v>833333.33333333326</v>
      </c>
      <c r="I21" s="259">
        <f t="shared" si="1"/>
        <v>833333.33333333326</v>
      </c>
      <c r="J21" s="584">
        <f t="shared" si="2"/>
        <v>1</v>
      </c>
      <c r="K21" s="745">
        <f>D21</f>
        <v>2000000.0000000002</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v>0</v>
      </c>
    </row>
    <row r="27" spans="1:11" ht="12.75" customHeight="1" x14ac:dyDescent="0.2">
      <c r="A27" s="520" t="s">
        <v>1270</v>
      </c>
      <c r="B27" s="170"/>
      <c r="C27" s="657">
        <f t="shared" ref="C27:H27" si="7">SUM(C28:C37)</f>
        <v>57835116.541999996</v>
      </c>
      <c r="D27" s="658">
        <f t="shared" si="7"/>
        <v>81222873</v>
      </c>
      <c r="E27" s="411">
        <f t="shared" si="7"/>
        <v>75722884</v>
      </c>
      <c r="F27" s="411">
        <f t="shared" si="7"/>
        <v>0</v>
      </c>
      <c r="G27" s="411">
        <f t="shared" si="7"/>
        <v>0</v>
      </c>
      <c r="H27" s="411">
        <f t="shared" si="7"/>
        <v>31551201.666666664</v>
      </c>
      <c r="I27" s="259">
        <f t="shared" si="1"/>
        <v>31551201.666666664</v>
      </c>
      <c r="J27" s="584">
        <f t="shared" si="2"/>
        <v>1</v>
      </c>
      <c r="K27" s="651">
        <f>SUM(K28:K37)</f>
        <v>75722884</v>
      </c>
    </row>
    <row r="28" spans="1:11" ht="12.75" customHeight="1" x14ac:dyDescent="0.2">
      <c r="A28" s="583" t="s">
        <v>1271</v>
      </c>
      <c r="B28" s="170"/>
      <c r="C28" s="758">
        <v>0</v>
      </c>
      <c r="D28" s="755">
        <v>0</v>
      </c>
      <c r="E28" s="743">
        <v>0</v>
      </c>
      <c r="F28" s="743">
        <v>0</v>
      </c>
      <c r="G28" s="743">
        <v>0</v>
      </c>
      <c r="H28" s="743">
        <f>D28/12*7</f>
        <v>0</v>
      </c>
      <c r="I28" s="259">
        <f t="shared" si="1"/>
        <v>0</v>
      </c>
      <c r="J28" s="584" t="str">
        <f t="shared" si="2"/>
        <v/>
      </c>
      <c r="K28" s="745">
        <v>0</v>
      </c>
    </row>
    <row r="29" spans="1:11" ht="12.75" customHeight="1" x14ac:dyDescent="0.2">
      <c r="A29" s="583" t="s">
        <v>1272</v>
      </c>
      <c r="B29" s="170"/>
      <c r="C29" s="758">
        <v>0</v>
      </c>
      <c r="D29" s="755">
        <v>0</v>
      </c>
      <c r="E29" s="743">
        <v>0</v>
      </c>
      <c r="F29" s="743">
        <v>0</v>
      </c>
      <c r="G29" s="743">
        <v>0</v>
      </c>
      <c r="H29" s="743">
        <f t="shared" ref="H29:H37" si="8">D29/12*7</f>
        <v>0</v>
      </c>
      <c r="I29" s="259">
        <f t="shared" si="1"/>
        <v>0</v>
      </c>
      <c r="J29" s="584" t="str">
        <f t="shared" si="2"/>
        <v/>
      </c>
      <c r="K29" s="745">
        <v>0</v>
      </c>
    </row>
    <row r="30" spans="1:11" ht="12.75" customHeight="1" x14ac:dyDescent="0.2">
      <c r="A30" s="583" t="s">
        <v>1273</v>
      </c>
      <c r="B30" s="170"/>
      <c r="C30" s="758">
        <v>0</v>
      </c>
      <c r="D30" s="755">
        <v>0</v>
      </c>
      <c r="E30" s="743">
        <v>0</v>
      </c>
      <c r="F30" s="743">
        <v>0</v>
      </c>
      <c r="G30" s="743">
        <v>0</v>
      </c>
      <c r="H30" s="743">
        <f t="shared" si="8"/>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8"/>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8"/>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8"/>
        <v>0</v>
      </c>
      <c r="I33" s="259">
        <f t="shared" si="1"/>
        <v>0</v>
      </c>
      <c r="J33" s="584" t="str">
        <f t="shared" si="2"/>
        <v/>
      </c>
      <c r="K33" s="745">
        <v>0</v>
      </c>
    </row>
    <row r="34" spans="1:11" ht="12.75" customHeight="1" x14ac:dyDescent="0.2">
      <c r="A34" s="583" t="s">
        <v>1277</v>
      </c>
      <c r="B34" s="170"/>
      <c r="C34" s="758">
        <v>0</v>
      </c>
      <c r="D34" s="755">
        <v>0</v>
      </c>
      <c r="E34" s="743"/>
      <c r="F34" s="743">
        <v>0</v>
      </c>
      <c r="G34" s="743">
        <v>0</v>
      </c>
      <c r="H34" s="743">
        <f t="shared" si="8"/>
        <v>0</v>
      </c>
      <c r="I34" s="259">
        <f t="shared" si="1"/>
        <v>0</v>
      </c>
      <c r="J34" s="584" t="str">
        <f t="shared" si="2"/>
        <v/>
      </c>
      <c r="K34" s="745">
        <v>0</v>
      </c>
    </row>
    <row r="35" spans="1:11" ht="12.75" customHeight="1" x14ac:dyDescent="0.2">
      <c r="A35" s="583" t="s">
        <v>1278</v>
      </c>
      <c r="B35" s="170"/>
      <c r="C35" s="758">
        <v>57835116.541999996</v>
      </c>
      <c r="D35" s="755">
        <v>81222873</v>
      </c>
      <c r="E35" s="743">
        <v>75722884</v>
      </c>
      <c r="F35" s="743">
        <v>0</v>
      </c>
      <c r="G35" s="743">
        <v>0</v>
      </c>
      <c r="H35" s="743">
        <f>E35/12*5</f>
        <v>31551201.666666664</v>
      </c>
      <c r="I35" s="259">
        <f t="shared" si="1"/>
        <v>31551201.666666664</v>
      </c>
      <c r="J35" s="584">
        <f t="shared" si="2"/>
        <v>1</v>
      </c>
      <c r="K35" s="745">
        <f>E35</f>
        <v>75722884</v>
      </c>
    </row>
    <row r="36" spans="1:11" ht="12.75" customHeight="1" x14ac:dyDescent="0.2">
      <c r="A36" s="583" t="s">
        <v>1279</v>
      </c>
      <c r="B36" s="170"/>
      <c r="C36" s="758">
        <v>0</v>
      </c>
      <c r="D36" s="755">
        <v>0</v>
      </c>
      <c r="E36" s="743">
        <v>0</v>
      </c>
      <c r="F36" s="743">
        <v>0</v>
      </c>
      <c r="G36" s="743">
        <v>0</v>
      </c>
      <c r="H36" s="743">
        <f t="shared" si="8"/>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8"/>
        <v>0</v>
      </c>
      <c r="I37" s="259">
        <f t="shared" si="1"/>
        <v>0</v>
      </c>
      <c r="J37" s="584" t="str">
        <f t="shared" si="2"/>
        <v/>
      </c>
      <c r="K37" s="745">
        <v>0</v>
      </c>
    </row>
    <row r="38" spans="1:11" ht="12.75" customHeight="1" x14ac:dyDescent="0.2">
      <c r="A38" s="520" t="s">
        <v>1280</v>
      </c>
      <c r="B38" s="170"/>
      <c r="C38" s="657">
        <f t="shared" ref="C38:H38" si="9">SUM(C39:C44)</f>
        <v>0</v>
      </c>
      <c r="D38" s="658">
        <f t="shared" si="9"/>
        <v>100000000</v>
      </c>
      <c r="E38" s="411">
        <f t="shared" si="9"/>
        <v>100000008</v>
      </c>
      <c r="F38" s="411">
        <f t="shared" si="9"/>
        <v>20282321.563999999</v>
      </c>
      <c r="G38" s="411">
        <f t="shared" si="9"/>
        <v>24387338.754499998</v>
      </c>
      <c r="H38" s="411">
        <f t="shared" si="9"/>
        <v>41666670</v>
      </c>
      <c r="I38" s="259">
        <f t="shared" si="1"/>
        <v>17279331.245500002</v>
      </c>
      <c r="J38" s="584">
        <f t="shared" si="2"/>
        <v>0.41470391671568674</v>
      </c>
      <c r="K38" s="651">
        <f>SUM(K39:K44)</f>
        <v>100000000</v>
      </c>
    </row>
    <row r="39" spans="1:11" ht="12.75" customHeight="1" x14ac:dyDescent="0.2">
      <c r="A39" s="583" t="s">
        <v>1281</v>
      </c>
      <c r="B39" s="170"/>
      <c r="C39" s="758">
        <v>0</v>
      </c>
      <c r="D39" s="755">
        <v>0</v>
      </c>
      <c r="E39" s="743">
        <v>0</v>
      </c>
      <c r="F39" s="743">
        <v>0</v>
      </c>
      <c r="G39" s="743">
        <v>0</v>
      </c>
      <c r="H39" s="743">
        <f t="shared" ref="H39:H44" si="10">D39/12*5</f>
        <v>0</v>
      </c>
      <c r="I39" s="259">
        <f t="shared" si="1"/>
        <v>0</v>
      </c>
      <c r="J39" s="584" t="str">
        <f t="shared" si="2"/>
        <v/>
      </c>
      <c r="K39" s="745">
        <v>0</v>
      </c>
    </row>
    <row r="40" spans="1:11" ht="12.75" customHeight="1" x14ac:dyDescent="0.2">
      <c r="A40" s="583" t="s">
        <v>141</v>
      </c>
      <c r="B40" s="170"/>
      <c r="C40" s="758">
        <v>0</v>
      </c>
      <c r="D40" s="755">
        <v>0</v>
      </c>
      <c r="E40" s="743">
        <v>0</v>
      </c>
      <c r="F40" s="743">
        <v>0</v>
      </c>
      <c r="G40" s="743">
        <v>0</v>
      </c>
      <c r="H40" s="743">
        <f t="shared" si="10"/>
        <v>0</v>
      </c>
      <c r="I40" s="259">
        <f t="shared" si="1"/>
        <v>0</v>
      </c>
      <c r="J40" s="584" t="str">
        <f t="shared" si="2"/>
        <v/>
      </c>
      <c r="K40" s="745">
        <v>0</v>
      </c>
    </row>
    <row r="41" spans="1:11" ht="12.75" customHeight="1" x14ac:dyDescent="0.2">
      <c r="A41" s="583" t="s">
        <v>1282</v>
      </c>
      <c r="B41" s="170"/>
      <c r="C41" s="758">
        <v>0</v>
      </c>
      <c r="D41" s="755">
        <v>100000000</v>
      </c>
      <c r="E41" s="743">
        <v>100000008</v>
      </c>
      <c r="F41" s="743">
        <v>20282321.563999999</v>
      </c>
      <c r="G41" s="743">
        <f>4105017.1905+F41</f>
        <v>24387338.754499998</v>
      </c>
      <c r="H41" s="743">
        <f>E41/12*5</f>
        <v>41666670</v>
      </c>
      <c r="I41" s="259">
        <f t="shared" si="1"/>
        <v>17279331.245500002</v>
      </c>
      <c r="J41" s="584">
        <f t="shared" si="2"/>
        <v>0.41470391671568674</v>
      </c>
      <c r="K41" s="745">
        <f>D41</f>
        <v>100000000</v>
      </c>
    </row>
    <row r="42" spans="1:11" ht="12.75" customHeight="1" x14ac:dyDescent="0.2">
      <c r="A42" s="583" t="s">
        <v>1283</v>
      </c>
      <c r="B42" s="170"/>
      <c r="C42" s="758">
        <v>0</v>
      </c>
      <c r="D42" s="755">
        <v>0</v>
      </c>
      <c r="E42" s="743">
        <v>0</v>
      </c>
      <c r="F42" s="743">
        <v>0</v>
      </c>
      <c r="G42" s="743">
        <v>0</v>
      </c>
      <c r="H42" s="743">
        <f t="shared" si="10"/>
        <v>0</v>
      </c>
      <c r="I42" s="259">
        <f t="shared" si="1"/>
        <v>0</v>
      </c>
      <c r="J42" s="584" t="str">
        <f t="shared" si="2"/>
        <v/>
      </c>
      <c r="K42" s="745">
        <v>0</v>
      </c>
    </row>
    <row r="43" spans="1:11" ht="12.75" customHeight="1" x14ac:dyDescent="0.2">
      <c r="A43" s="583" t="s">
        <v>1284</v>
      </c>
      <c r="B43" s="170"/>
      <c r="C43" s="758">
        <v>0</v>
      </c>
      <c r="D43" s="755">
        <v>0</v>
      </c>
      <c r="E43" s="743">
        <v>0</v>
      </c>
      <c r="F43" s="743">
        <v>0</v>
      </c>
      <c r="G43" s="743">
        <v>0</v>
      </c>
      <c r="H43" s="743">
        <f t="shared" si="10"/>
        <v>0</v>
      </c>
      <c r="I43" s="259">
        <f t="shared" si="1"/>
        <v>0</v>
      </c>
      <c r="J43" s="584" t="str">
        <f t="shared" si="2"/>
        <v/>
      </c>
      <c r="K43" s="745">
        <v>0</v>
      </c>
    </row>
    <row r="44" spans="1:11" ht="12.75" customHeight="1" x14ac:dyDescent="0.2">
      <c r="A44" s="583" t="s">
        <v>1256</v>
      </c>
      <c r="B44" s="170"/>
      <c r="C44" s="758">
        <v>0</v>
      </c>
      <c r="D44" s="755">
        <v>0</v>
      </c>
      <c r="E44" s="743">
        <v>0</v>
      </c>
      <c r="F44" s="743">
        <v>0</v>
      </c>
      <c r="G44" s="743">
        <v>0</v>
      </c>
      <c r="H44" s="743">
        <f t="shared" si="10"/>
        <v>0</v>
      </c>
      <c r="I44" s="259">
        <f t="shared" si="1"/>
        <v>0</v>
      </c>
      <c r="J44" s="584" t="str">
        <f t="shared" si="2"/>
        <v/>
      </c>
      <c r="K44" s="745">
        <v>0</v>
      </c>
    </row>
    <row r="45" spans="1:11" ht="12.75" customHeight="1" x14ac:dyDescent="0.2">
      <c r="A45" s="520" t="s">
        <v>1285</v>
      </c>
      <c r="B45" s="170"/>
      <c r="C45" s="657">
        <f t="shared" ref="C45:H45" si="11">SUM(C46:C52)</f>
        <v>0</v>
      </c>
      <c r="D45" s="658">
        <f t="shared" si="11"/>
        <v>6000000</v>
      </c>
      <c r="E45" s="411">
        <f t="shared" si="11"/>
        <v>6000000</v>
      </c>
      <c r="F45" s="411">
        <f t="shared" si="11"/>
        <v>170733.23199999999</v>
      </c>
      <c r="G45" s="411">
        <f t="shared" si="11"/>
        <v>170733.23199999999</v>
      </c>
      <c r="H45" s="411">
        <f t="shared" si="11"/>
        <v>2500000</v>
      </c>
      <c r="I45" s="259">
        <f t="shared" si="1"/>
        <v>2329266.7680000002</v>
      </c>
      <c r="J45" s="584">
        <f t="shared" si="2"/>
        <v>0.93170670720000004</v>
      </c>
      <c r="K45" s="651">
        <f>SUM(K46:K52)</f>
        <v>6000000</v>
      </c>
    </row>
    <row r="46" spans="1:11" ht="12.75" customHeight="1" x14ac:dyDescent="0.2">
      <c r="A46" s="583" t="s">
        <v>1286</v>
      </c>
      <c r="B46" s="170"/>
      <c r="C46" s="758">
        <v>0</v>
      </c>
      <c r="D46" s="755">
        <v>0</v>
      </c>
      <c r="E46" s="743">
        <v>0</v>
      </c>
      <c r="F46" s="743">
        <v>0</v>
      </c>
      <c r="G46" s="743">
        <v>0</v>
      </c>
      <c r="H46" s="743">
        <f t="shared" ref="H46:H51" si="12">D46/12*5</f>
        <v>0</v>
      </c>
      <c r="I46" s="259">
        <f t="shared" si="1"/>
        <v>0</v>
      </c>
      <c r="J46" s="584" t="str">
        <f t="shared" si="2"/>
        <v/>
      </c>
      <c r="K46" s="745">
        <v>0</v>
      </c>
    </row>
    <row r="47" spans="1:11" ht="12.75" customHeight="1" x14ac:dyDescent="0.2">
      <c r="A47" s="583" t="s">
        <v>1287</v>
      </c>
      <c r="B47" s="170"/>
      <c r="C47" s="758">
        <v>0</v>
      </c>
      <c r="D47" s="755">
        <v>6000000</v>
      </c>
      <c r="E47" s="743">
        <v>6000000</v>
      </c>
      <c r="F47" s="743">
        <v>170733.23199999999</v>
      </c>
      <c r="G47" s="743">
        <v>170733.23199999999</v>
      </c>
      <c r="H47" s="743">
        <f>E47/12*5</f>
        <v>2500000</v>
      </c>
      <c r="I47" s="259">
        <f t="shared" si="1"/>
        <v>2329266.7680000002</v>
      </c>
      <c r="J47" s="584">
        <f t="shared" si="2"/>
        <v>0.93170670720000004</v>
      </c>
      <c r="K47" s="745">
        <v>6000000</v>
      </c>
    </row>
    <row r="48" spans="1:11" ht="12.75" customHeight="1" x14ac:dyDescent="0.2">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 t="shared" si="12"/>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ref="H52" si="13">D52/12*7</f>
        <v>0</v>
      </c>
      <c r="I52" s="259">
        <f t="shared" si="1"/>
        <v>0</v>
      </c>
      <c r="J52" s="584" t="str">
        <f t="shared" si="2"/>
        <v/>
      </c>
      <c r="K52" s="745">
        <v>0</v>
      </c>
    </row>
    <row r="53" spans="1:11" ht="12.75" customHeight="1" x14ac:dyDescent="0.2">
      <c r="A53" s="521" t="s">
        <v>1292</v>
      </c>
      <c r="B53" s="170"/>
      <c r="C53" s="657">
        <f t="shared" ref="C53:H53" si="14">SUM(C54:C62)</f>
        <v>0</v>
      </c>
      <c r="D53" s="658">
        <f t="shared" si="14"/>
        <v>0</v>
      </c>
      <c r="E53" s="411">
        <f t="shared" si="14"/>
        <v>0</v>
      </c>
      <c r="F53" s="411">
        <f t="shared" si="14"/>
        <v>0</v>
      </c>
      <c r="G53" s="411">
        <f t="shared" si="14"/>
        <v>0</v>
      </c>
      <c r="H53" s="411">
        <f t="shared" si="14"/>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v>0</v>
      </c>
    </row>
    <row r="63" spans="1:11" ht="12.75" customHeight="1" x14ac:dyDescent="0.2">
      <c r="A63" s="520" t="s">
        <v>1296</v>
      </c>
      <c r="B63" s="170"/>
      <c r="C63" s="657">
        <f t="shared" ref="C63:H63" si="15">SUM(C64:C68)</f>
        <v>0</v>
      </c>
      <c r="D63" s="658">
        <f t="shared" si="15"/>
        <v>0</v>
      </c>
      <c r="E63" s="411">
        <f t="shared" si="15"/>
        <v>0</v>
      </c>
      <c r="F63" s="411">
        <f t="shared" si="15"/>
        <v>0</v>
      </c>
      <c r="G63" s="411">
        <f t="shared" si="15"/>
        <v>0</v>
      </c>
      <c r="H63" s="411">
        <f t="shared" si="15"/>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6">SUM(C70:C73)</f>
        <v>0</v>
      </c>
      <c r="D69" s="658">
        <f t="shared" si="16"/>
        <v>12000000</v>
      </c>
      <c r="E69" s="411">
        <f t="shared" si="16"/>
        <v>12000000</v>
      </c>
      <c r="F69" s="411">
        <f t="shared" si="16"/>
        <v>10228265.2205</v>
      </c>
      <c r="G69" s="411">
        <f t="shared" si="16"/>
        <v>10228265.2205</v>
      </c>
      <c r="H69" s="411">
        <f t="shared" si="16"/>
        <v>5000000</v>
      </c>
      <c r="I69" s="259">
        <f t="shared" si="1"/>
        <v>-5228265.2204999998</v>
      </c>
      <c r="J69" s="584">
        <f t="shared" si="2"/>
        <v>-1.0456530441</v>
      </c>
      <c r="K69" s="651">
        <f>SUM(K70:K73)</f>
        <v>12000000</v>
      </c>
    </row>
    <row r="70" spans="1:11" ht="12.75" customHeight="1" x14ac:dyDescent="0.2">
      <c r="A70" s="583" t="s">
        <v>1302</v>
      </c>
      <c r="B70" s="170"/>
      <c r="C70" s="758">
        <v>0</v>
      </c>
      <c r="D70" s="755">
        <v>0</v>
      </c>
      <c r="E70" s="743">
        <v>0</v>
      </c>
      <c r="F70" s="743">
        <v>0</v>
      </c>
      <c r="G70" s="743">
        <v>0</v>
      </c>
      <c r="H70" s="743">
        <f>D70/12*5</f>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12000000</v>
      </c>
      <c r="E73" s="743">
        <v>12000000</v>
      </c>
      <c r="F73" s="743">
        <v>10228265.2205</v>
      </c>
      <c r="G73" s="743">
        <v>10228265.2205</v>
      </c>
      <c r="H73" s="743">
        <f>E73/12*5</f>
        <v>5000000</v>
      </c>
      <c r="I73" s="259">
        <f t="shared" si="1"/>
        <v>-5228265.2204999998</v>
      </c>
      <c r="J73" s="584">
        <f t="shared" si="2"/>
        <v>-1.0456530441</v>
      </c>
      <c r="K73" s="745">
        <f>D73</f>
        <v>12000000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7">+C76+C99</f>
        <v>15933992.773749989</v>
      </c>
      <c r="D75" s="586">
        <f t="shared" si="17"/>
        <v>9015000</v>
      </c>
      <c r="E75" s="587">
        <f t="shared" si="17"/>
        <v>8345000</v>
      </c>
      <c r="F75" s="587">
        <f t="shared" si="17"/>
        <v>985837.5</v>
      </c>
      <c r="G75" s="587">
        <f t="shared" si="17"/>
        <v>985837.5</v>
      </c>
      <c r="H75" s="587">
        <f t="shared" si="17"/>
        <v>3477083.3333333335</v>
      </c>
      <c r="I75" s="587">
        <f t="shared" si="1"/>
        <v>2491245.8333333335</v>
      </c>
      <c r="J75" s="588">
        <f t="shared" si="2"/>
        <v>0.71647573397243858</v>
      </c>
      <c r="K75" s="589">
        <f>+K76+K99</f>
        <v>8345000</v>
      </c>
    </row>
    <row r="76" spans="1:11" ht="12.75" customHeight="1" x14ac:dyDescent="0.2">
      <c r="A76" s="521" t="s">
        <v>1305</v>
      </c>
      <c r="B76" s="170"/>
      <c r="C76" s="657">
        <f t="shared" ref="C76:H76" si="18">SUM(C77:C98)</f>
        <v>8312151.3831499899</v>
      </c>
      <c r="D76" s="658">
        <f t="shared" si="18"/>
        <v>1170000</v>
      </c>
      <c r="E76" s="411">
        <f t="shared" si="18"/>
        <v>500000</v>
      </c>
      <c r="F76" s="411">
        <f t="shared" si="18"/>
        <v>0</v>
      </c>
      <c r="G76" s="411">
        <f t="shared" si="18"/>
        <v>0</v>
      </c>
      <c r="H76" s="411">
        <f t="shared" si="18"/>
        <v>208333.33333333331</v>
      </c>
      <c r="I76" s="259">
        <f t="shared" si="1"/>
        <v>208333.33333333331</v>
      </c>
      <c r="J76" s="584">
        <f t="shared" si="2"/>
        <v>1</v>
      </c>
      <c r="K76" s="651">
        <f>SUM(K77:K98)</f>
        <v>500000</v>
      </c>
    </row>
    <row r="77" spans="1:11" ht="12.75" customHeight="1" x14ac:dyDescent="0.2">
      <c r="A77" s="583" t="s">
        <v>1306</v>
      </c>
      <c r="B77" s="170"/>
      <c r="C77" s="758">
        <v>3160983.6582499901</v>
      </c>
      <c r="D77" s="763">
        <v>670000</v>
      </c>
      <c r="E77" s="743">
        <v>0</v>
      </c>
      <c r="F77" s="743">
        <v>0</v>
      </c>
      <c r="G77" s="743">
        <v>0</v>
      </c>
      <c r="H77" s="743">
        <f>E77/12*5</f>
        <v>0</v>
      </c>
      <c r="I77" s="45">
        <f t="shared" si="1"/>
        <v>0</v>
      </c>
      <c r="J77" s="125" t="str">
        <f t="shared" si="2"/>
        <v/>
      </c>
      <c r="K77" s="745">
        <v>0</v>
      </c>
    </row>
    <row r="78" spans="1:11" ht="12.75" customHeight="1" x14ac:dyDescent="0.2">
      <c r="A78" s="583" t="s">
        <v>1307</v>
      </c>
      <c r="B78" s="170"/>
      <c r="C78" s="758">
        <v>0</v>
      </c>
      <c r="D78" s="763">
        <v>0</v>
      </c>
      <c r="E78" s="743">
        <v>0</v>
      </c>
      <c r="F78" s="743">
        <v>0</v>
      </c>
      <c r="G78" s="743">
        <v>0</v>
      </c>
      <c r="H78" s="743">
        <f t="shared" ref="H78:H98" si="19">D78/12*5</f>
        <v>0</v>
      </c>
      <c r="I78" s="45">
        <f t="shared" si="1"/>
        <v>0</v>
      </c>
      <c r="J78" s="125" t="str">
        <f t="shared" si="2"/>
        <v/>
      </c>
      <c r="K78" s="745">
        <f t="shared" ref="K78:K98" si="20">D78</f>
        <v>0</v>
      </c>
    </row>
    <row r="79" spans="1:11" ht="12.75" customHeight="1" x14ac:dyDescent="0.2">
      <c r="A79" s="583" t="s">
        <v>1308</v>
      </c>
      <c r="B79" s="170"/>
      <c r="C79" s="758">
        <v>0</v>
      </c>
      <c r="D79" s="763">
        <v>0</v>
      </c>
      <c r="E79" s="743">
        <v>0</v>
      </c>
      <c r="F79" s="743">
        <v>0</v>
      </c>
      <c r="G79" s="743">
        <v>0</v>
      </c>
      <c r="H79" s="743">
        <f t="shared" si="19"/>
        <v>0</v>
      </c>
      <c r="I79" s="45">
        <f t="shared" si="1"/>
        <v>0</v>
      </c>
      <c r="J79" s="125" t="str">
        <f t="shared" si="2"/>
        <v/>
      </c>
      <c r="K79" s="745">
        <f t="shared" si="20"/>
        <v>0</v>
      </c>
    </row>
    <row r="80" spans="1:11" ht="12.75" customHeight="1" x14ac:dyDescent="0.2">
      <c r="A80" s="583" t="s">
        <v>1309</v>
      </c>
      <c r="B80" s="170"/>
      <c r="C80" s="758">
        <v>0</v>
      </c>
      <c r="D80" s="763">
        <v>0</v>
      </c>
      <c r="E80" s="743">
        <v>0</v>
      </c>
      <c r="F80" s="743">
        <v>0</v>
      </c>
      <c r="G80" s="743">
        <v>0</v>
      </c>
      <c r="H80" s="743">
        <f t="shared" si="19"/>
        <v>0</v>
      </c>
      <c r="I80" s="45">
        <f t="shared" si="1"/>
        <v>0</v>
      </c>
      <c r="J80" s="125" t="str">
        <f t="shared" si="2"/>
        <v/>
      </c>
      <c r="K80" s="745">
        <f t="shared" si="20"/>
        <v>0</v>
      </c>
    </row>
    <row r="81" spans="1:11" ht="12.75" customHeight="1" x14ac:dyDescent="0.2">
      <c r="A81" s="583" t="s">
        <v>1310</v>
      </c>
      <c r="B81" s="170"/>
      <c r="C81" s="758">
        <v>0</v>
      </c>
      <c r="D81" s="763">
        <v>0</v>
      </c>
      <c r="E81" s="743">
        <v>0</v>
      </c>
      <c r="F81" s="743">
        <v>0</v>
      </c>
      <c r="G81" s="743">
        <v>0</v>
      </c>
      <c r="H81" s="743">
        <f t="shared" si="19"/>
        <v>0</v>
      </c>
      <c r="I81" s="45">
        <f t="shared" si="1"/>
        <v>0</v>
      </c>
      <c r="J81" s="125" t="str">
        <f t="shared" si="2"/>
        <v/>
      </c>
      <c r="K81" s="745">
        <f t="shared" si="20"/>
        <v>0</v>
      </c>
    </row>
    <row r="82" spans="1:11" ht="12.75" customHeight="1" x14ac:dyDescent="0.2">
      <c r="A82" s="583" t="s">
        <v>1311</v>
      </c>
      <c r="B82" s="170"/>
      <c r="C82" s="758">
        <v>0</v>
      </c>
      <c r="D82" s="763">
        <v>0</v>
      </c>
      <c r="E82" s="743">
        <v>0</v>
      </c>
      <c r="F82" s="743">
        <v>0</v>
      </c>
      <c r="G82" s="743">
        <v>0</v>
      </c>
      <c r="H82" s="743">
        <f t="shared" si="19"/>
        <v>0</v>
      </c>
      <c r="I82" s="45">
        <f t="shared" si="1"/>
        <v>0</v>
      </c>
      <c r="J82" s="125" t="str">
        <f t="shared" si="2"/>
        <v/>
      </c>
      <c r="K82" s="745">
        <f t="shared" si="20"/>
        <v>0</v>
      </c>
    </row>
    <row r="83" spans="1:11" ht="12.75" customHeight="1" x14ac:dyDescent="0.2">
      <c r="A83" s="583" t="s">
        <v>1312</v>
      </c>
      <c r="B83" s="170"/>
      <c r="C83" s="758">
        <v>0</v>
      </c>
      <c r="D83" s="763">
        <v>0</v>
      </c>
      <c r="E83" s="743">
        <v>0</v>
      </c>
      <c r="F83" s="743">
        <v>0</v>
      </c>
      <c r="G83" s="743">
        <v>0</v>
      </c>
      <c r="H83" s="743">
        <f t="shared" si="19"/>
        <v>0</v>
      </c>
      <c r="I83" s="45">
        <f t="shared" si="1"/>
        <v>0</v>
      </c>
      <c r="J83" s="125" t="str">
        <f t="shared" si="2"/>
        <v/>
      </c>
      <c r="K83" s="745">
        <f t="shared" si="20"/>
        <v>0</v>
      </c>
    </row>
    <row r="84" spans="1:11" ht="12.75" customHeight="1" x14ac:dyDescent="0.2">
      <c r="A84" s="583" t="s">
        <v>1313</v>
      </c>
      <c r="B84" s="170"/>
      <c r="C84" s="758">
        <v>0</v>
      </c>
      <c r="D84" s="763">
        <v>0</v>
      </c>
      <c r="E84" s="743">
        <v>0</v>
      </c>
      <c r="F84" s="743">
        <v>0</v>
      </c>
      <c r="G84" s="743">
        <v>0</v>
      </c>
      <c r="H84" s="743">
        <f t="shared" si="19"/>
        <v>0</v>
      </c>
      <c r="I84" s="45">
        <f t="shared" si="1"/>
        <v>0</v>
      </c>
      <c r="J84" s="125" t="str">
        <f t="shared" si="2"/>
        <v/>
      </c>
      <c r="K84" s="745">
        <f t="shared" si="20"/>
        <v>0</v>
      </c>
    </row>
    <row r="85" spans="1:11" ht="12.75" customHeight="1" x14ac:dyDescent="0.2">
      <c r="A85" s="583" t="s">
        <v>1189</v>
      </c>
      <c r="B85" s="170"/>
      <c r="C85" s="758">
        <v>0</v>
      </c>
      <c r="D85" s="763">
        <v>0</v>
      </c>
      <c r="E85" s="743">
        <v>0</v>
      </c>
      <c r="F85" s="743">
        <v>0</v>
      </c>
      <c r="G85" s="743">
        <v>0</v>
      </c>
      <c r="H85" s="743">
        <f t="shared" si="19"/>
        <v>0</v>
      </c>
      <c r="I85" s="45">
        <f t="shared" si="1"/>
        <v>0</v>
      </c>
      <c r="J85" s="125" t="str">
        <f t="shared" si="2"/>
        <v/>
      </c>
      <c r="K85" s="745">
        <f t="shared" si="20"/>
        <v>0</v>
      </c>
    </row>
    <row r="86" spans="1:11" ht="12.75" customHeight="1" x14ac:dyDescent="0.2">
      <c r="A86" s="583" t="s">
        <v>572</v>
      </c>
      <c r="B86" s="170"/>
      <c r="C86" s="758">
        <v>0</v>
      </c>
      <c r="D86" s="763">
        <v>0</v>
      </c>
      <c r="E86" s="743">
        <v>0</v>
      </c>
      <c r="F86" s="743">
        <v>0</v>
      </c>
      <c r="G86" s="743">
        <v>0</v>
      </c>
      <c r="H86" s="743">
        <f t="shared" si="19"/>
        <v>0</v>
      </c>
      <c r="I86" s="45">
        <f t="shared" si="1"/>
        <v>0</v>
      </c>
      <c r="J86" s="125" t="str">
        <f t="shared" si="2"/>
        <v/>
      </c>
      <c r="K86" s="745">
        <f t="shared" si="20"/>
        <v>0</v>
      </c>
    </row>
    <row r="87" spans="1:11" ht="12.75" customHeight="1" x14ac:dyDescent="0.2">
      <c r="A87" s="583" t="s">
        <v>1314</v>
      </c>
      <c r="B87" s="170"/>
      <c r="C87" s="758">
        <v>0</v>
      </c>
      <c r="D87" s="763">
        <v>0</v>
      </c>
      <c r="E87" s="743">
        <v>0</v>
      </c>
      <c r="F87" s="743">
        <v>0</v>
      </c>
      <c r="G87" s="743">
        <v>0</v>
      </c>
      <c r="H87" s="743">
        <f t="shared" si="19"/>
        <v>0</v>
      </c>
      <c r="I87" s="45">
        <f t="shared" si="1"/>
        <v>0</v>
      </c>
      <c r="J87" s="125" t="str">
        <f t="shared" si="2"/>
        <v/>
      </c>
      <c r="K87" s="745">
        <f t="shared" si="20"/>
        <v>0</v>
      </c>
    </row>
    <row r="88" spans="1:11" ht="12.75" customHeight="1" x14ac:dyDescent="0.2">
      <c r="A88" s="583" t="s">
        <v>173</v>
      </c>
      <c r="B88" s="170"/>
      <c r="C88" s="758">
        <v>0</v>
      </c>
      <c r="D88" s="763">
        <v>0</v>
      </c>
      <c r="E88" s="743">
        <v>0</v>
      </c>
      <c r="F88" s="743">
        <v>0</v>
      </c>
      <c r="G88" s="743">
        <v>0</v>
      </c>
      <c r="H88" s="743">
        <f t="shared" si="19"/>
        <v>0</v>
      </c>
      <c r="I88" s="45">
        <f t="shared" si="1"/>
        <v>0</v>
      </c>
      <c r="J88" s="125" t="str">
        <f t="shared" si="2"/>
        <v/>
      </c>
      <c r="K88" s="745">
        <f t="shared" si="20"/>
        <v>0</v>
      </c>
    </row>
    <row r="89" spans="1:11" ht="12.75" customHeight="1" x14ac:dyDescent="0.2">
      <c r="A89" s="583" t="s">
        <v>1315</v>
      </c>
      <c r="B89" s="170"/>
      <c r="C89" s="758">
        <v>0</v>
      </c>
      <c r="D89" s="763">
        <v>500000</v>
      </c>
      <c r="E89" s="743">
        <v>500000</v>
      </c>
      <c r="F89" s="743">
        <v>0</v>
      </c>
      <c r="G89" s="743">
        <v>0</v>
      </c>
      <c r="H89" s="743">
        <f>E89/12*5</f>
        <v>208333.33333333331</v>
      </c>
      <c r="I89" s="45">
        <f t="shared" si="1"/>
        <v>208333.33333333331</v>
      </c>
      <c r="J89" s="125">
        <f t="shared" si="2"/>
        <v>1</v>
      </c>
      <c r="K89" s="745">
        <f t="shared" si="20"/>
        <v>500000</v>
      </c>
    </row>
    <row r="90" spans="1:11" ht="12.75" customHeight="1" x14ac:dyDescent="0.2">
      <c r="A90" s="583" t="s">
        <v>1316</v>
      </c>
      <c r="B90" s="170"/>
      <c r="C90" s="758">
        <v>4520718.4012000002</v>
      </c>
      <c r="D90" s="763"/>
      <c r="E90" s="743">
        <v>0</v>
      </c>
      <c r="F90" s="743">
        <v>0</v>
      </c>
      <c r="G90" s="743">
        <v>0</v>
      </c>
      <c r="H90" s="743">
        <f t="shared" si="19"/>
        <v>0</v>
      </c>
      <c r="I90" s="45">
        <f t="shared" si="1"/>
        <v>0</v>
      </c>
      <c r="J90" s="125" t="str">
        <f t="shared" si="2"/>
        <v/>
      </c>
      <c r="K90" s="745">
        <f t="shared" si="20"/>
        <v>0</v>
      </c>
    </row>
    <row r="91" spans="1:11" ht="12.75" customHeight="1" x14ac:dyDescent="0.2">
      <c r="A91" s="583" t="s">
        <v>1317</v>
      </c>
      <c r="B91" s="170"/>
      <c r="C91" s="758">
        <v>630449.32369999995</v>
      </c>
      <c r="D91" s="763"/>
      <c r="E91" s="743">
        <v>0</v>
      </c>
      <c r="F91" s="743">
        <v>0</v>
      </c>
      <c r="G91" s="743">
        <v>0</v>
      </c>
      <c r="H91" s="743">
        <f t="shared" si="19"/>
        <v>0</v>
      </c>
      <c r="I91" s="45">
        <f t="shared" si="1"/>
        <v>0</v>
      </c>
      <c r="J91" s="125" t="str">
        <f t="shared" si="2"/>
        <v/>
      </c>
      <c r="K91" s="745">
        <f t="shared" si="20"/>
        <v>0</v>
      </c>
    </row>
    <row r="92" spans="1:11" ht="12.75" customHeight="1" x14ac:dyDescent="0.2">
      <c r="A92" s="583" t="s">
        <v>1318</v>
      </c>
      <c r="B92" s="170"/>
      <c r="C92" s="758">
        <v>0</v>
      </c>
      <c r="D92" s="763"/>
      <c r="E92" s="743">
        <v>0</v>
      </c>
      <c r="F92" s="743">
        <v>0</v>
      </c>
      <c r="G92" s="743">
        <v>0</v>
      </c>
      <c r="H92" s="743">
        <f t="shared" si="19"/>
        <v>0</v>
      </c>
      <c r="I92" s="45">
        <f t="shared" si="1"/>
        <v>0</v>
      </c>
      <c r="J92" s="125" t="str">
        <f t="shared" si="2"/>
        <v/>
      </c>
      <c r="K92" s="745">
        <f t="shared" si="20"/>
        <v>0</v>
      </c>
    </row>
    <row r="93" spans="1:11" ht="12.75" customHeight="1" x14ac:dyDescent="0.2">
      <c r="A93" s="583" t="s">
        <v>451</v>
      </c>
      <c r="B93" s="170"/>
      <c r="C93" s="758">
        <v>0</v>
      </c>
      <c r="D93" s="763"/>
      <c r="E93" s="743">
        <v>0</v>
      </c>
      <c r="F93" s="743">
        <v>0</v>
      </c>
      <c r="G93" s="743">
        <v>0</v>
      </c>
      <c r="H93" s="743">
        <f t="shared" si="19"/>
        <v>0</v>
      </c>
      <c r="I93" s="45">
        <f t="shared" si="1"/>
        <v>0</v>
      </c>
      <c r="J93" s="125" t="str">
        <f t="shared" si="2"/>
        <v/>
      </c>
      <c r="K93" s="745">
        <f t="shared" si="20"/>
        <v>0</v>
      </c>
    </row>
    <row r="94" spans="1:11" ht="12.75" customHeight="1" x14ac:dyDescent="0.2">
      <c r="A94" s="583" t="s">
        <v>1319</v>
      </c>
      <c r="B94" s="170"/>
      <c r="C94" s="758">
        <v>0</v>
      </c>
      <c r="D94" s="763"/>
      <c r="E94" s="743">
        <v>0</v>
      </c>
      <c r="F94" s="743">
        <v>0</v>
      </c>
      <c r="G94" s="743">
        <v>0</v>
      </c>
      <c r="H94" s="743">
        <f t="shared" si="19"/>
        <v>0</v>
      </c>
      <c r="I94" s="45">
        <f t="shared" si="1"/>
        <v>0</v>
      </c>
      <c r="J94" s="125" t="str">
        <f t="shared" si="2"/>
        <v/>
      </c>
      <c r="K94" s="745">
        <f t="shared" si="20"/>
        <v>0</v>
      </c>
    </row>
    <row r="95" spans="1:11" ht="12.75" customHeight="1" x14ac:dyDescent="0.2">
      <c r="A95" s="583" t="s">
        <v>450</v>
      </c>
      <c r="B95" s="170"/>
      <c r="C95" s="758">
        <v>0</v>
      </c>
      <c r="D95" s="763"/>
      <c r="E95" s="743">
        <v>0</v>
      </c>
      <c r="F95" s="743">
        <v>0</v>
      </c>
      <c r="G95" s="743">
        <v>0</v>
      </c>
      <c r="H95" s="743">
        <f t="shared" si="19"/>
        <v>0</v>
      </c>
      <c r="I95" s="45">
        <f t="shared" si="1"/>
        <v>0</v>
      </c>
      <c r="J95" s="125" t="str">
        <f t="shared" si="2"/>
        <v/>
      </c>
      <c r="K95" s="745">
        <f t="shared" si="20"/>
        <v>0</v>
      </c>
    </row>
    <row r="96" spans="1:11" ht="12.75" customHeight="1" x14ac:dyDescent="0.2">
      <c r="A96" s="583" t="s">
        <v>1320</v>
      </c>
      <c r="B96" s="170"/>
      <c r="C96" s="758">
        <v>0</v>
      </c>
      <c r="D96" s="763"/>
      <c r="E96" s="743">
        <v>0</v>
      </c>
      <c r="F96" s="743">
        <v>0</v>
      </c>
      <c r="G96" s="743">
        <v>0</v>
      </c>
      <c r="H96" s="743">
        <f t="shared" si="19"/>
        <v>0</v>
      </c>
      <c r="I96" s="45">
        <f t="shared" si="1"/>
        <v>0</v>
      </c>
      <c r="J96" s="125" t="str">
        <f t="shared" si="2"/>
        <v/>
      </c>
      <c r="K96" s="745">
        <f t="shared" si="20"/>
        <v>0</v>
      </c>
    </row>
    <row r="97" spans="1:11" ht="12.75" customHeight="1" x14ac:dyDescent="0.2">
      <c r="A97" s="583" t="s">
        <v>1321</v>
      </c>
      <c r="B97" s="170"/>
      <c r="C97" s="758">
        <v>0</v>
      </c>
      <c r="D97" s="763"/>
      <c r="E97" s="743">
        <v>0</v>
      </c>
      <c r="F97" s="743">
        <v>0</v>
      </c>
      <c r="G97" s="743">
        <v>0</v>
      </c>
      <c r="H97" s="743">
        <f t="shared" si="19"/>
        <v>0</v>
      </c>
      <c r="I97" s="45">
        <f t="shared" si="1"/>
        <v>0</v>
      </c>
      <c r="J97" s="125" t="str">
        <f t="shared" si="2"/>
        <v/>
      </c>
      <c r="K97" s="745">
        <f t="shared" si="20"/>
        <v>0</v>
      </c>
    </row>
    <row r="98" spans="1:11" ht="12.75" customHeight="1" x14ac:dyDescent="0.2">
      <c r="A98" s="583" t="s">
        <v>1256</v>
      </c>
      <c r="B98" s="170"/>
      <c r="C98" s="758">
        <v>0</v>
      </c>
      <c r="D98" s="763"/>
      <c r="E98" s="743">
        <v>0</v>
      </c>
      <c r="F98" s="743">
        <v>0</v>
      </c>
      <c r="G98" s="743">
        <v>0</v>
      </c>
      <c r="H98" s="743">
        <f t="shared" si="19"/>
        <v>0</v>
      </c>
      <c r="I98" s="45">
        <f t="shared" si="1"/>
        <v>0</v>
      </c>
      <c r="J98" s="125" t="str">
        <f t="shared" si="2"/>
        <v/>
      </c>
      <c r="K98" s="745">
        <f t="shared" si="20"/>
        <v>0</v>
      </c>
    </row>
    <row r="99" spans="1:11" ht="12.75" customHeight="1" x14ac:dyDescent="0.2">
      <c r="A99" s="521" t="s">
        <v>1322</v>
      </c>
      <c r="B99" s="170"/>
      <c r="C99" s="657">
        <f t="shared" ref="C99:H99" si="21">SUM(C100:C102)</f>
        <v>7621841.3905999996</v>
      </c>
      <c r="D99" s="658">
        <f t="shared" si="21"/>
        <v>7845000</v>
      </c>
      <c r="E99" s="411">
        <f t="shared" si="21"/>
        <v>7845000</v>
      </c>
      <c r="F99" s="411">
        <f t="shared" si="21"/>
        <v>985837.5</v>
      </c>
      <c r="G99" s="411">
        <f t="shared" si="21"/>
        <v>985837.5</v>
      </c>
      <c r="H99" s="411">
        <f t="shared" si="21"/>
        <v>3268750</v>
      </c>
      <c r="I99" s="259">
        <f t="shared" si="1"/>
        <v>2282912.5</v>
      </c>
      <c r="J99" s="584">
        <f t="shared" si="2"/>
        <v>0.69840535372848944</v>
      </c>
      <c r="K99" s="651">
        <f>SUM(K100:K102)</f>
        <v>7845000</v>
      </c>
    </row>
    <row r="100" spans="1:11" ht="12.75" customHeight="1" x14ac:dyDescent="0.2">
      <c r="A100" s="583" t="s">
        <v>1323</v>
      </c>
      <c r="B100" s="170"/>
      <c r="C100" s="758">
        <v>0</v>
      </c>
      <c r="D100" s="763">
        <v>0</v>
      </c>
      <c r="E100" s="743">
        <v>0</v>
      </c>
      <c r="F100" s="743">
        <v>0</v>
      </c>
      <c r="G100" s="743">
        <v>0</v>
      </c>
      <c r="H100" s="743">
        <f>D100/12*7</f>
        <v>0</v>
      </c>
      <c r="I100" s="45">
        <f t="shared" si="1"/>
        <v>0</v>
      </c>
      <c r="J100" s="125" t="str">
        <f t="shared" si="2"/>
        <v/>
      </c>
      <c r="K100" s="745">
        <f>D100</f>
        <v>0</v>
      </c>
    </row>
    <row r="101" spans="1:11" ht="12.75" customHeight="1" x14ac:dyDescent="0.2">
      <c r="A101" s="583" t="s">
        <v>1324</v>
      </c>
      <c r="B101" s="170"/>
      <c r="C101" s="758">
        <v>7621841.3905999996</v>
      </c>
      <c r="D101" s="763">
        <v>7845000</v>
      </c>
      <c r="E101" s="743">
        <v>7845000</v>
      </c>
      <c r="F101" s="743">
        <v>985837.5</v>
      </c>
      <c r="G101" s="743">
        <v>985837.5</v>
      </c>
      <c r="H101" s="743">
        <f>E101/12*5</f>
        <v>3268750</v>
      </c>
      <c r="I101" s="45">
        <f>H101-G101</f>
        <v>2282912.5</v>
      </c>
      <c r="J101" s="125">
        <f>IF(I101=0,"",I101/H101)</f>
        <v>0.69840535372848944</v>
      </c>
      <c r="K101" s="745">
        <f>D101</f>
        <v>7845000</v>
      </c>
    </row>
    <row r="102" spans="1:11" ht="12.75" customHeight="1" x14ac:dyDescent="0.2">
      <c r="A102" s="583" t="s">
        <v>1256</v>
      </c>
      <c r="B102" s="170"/>
      <c r="C102" s="758">
        <v>0</v>
      </c>
      <c r="D102" s="763">
        <v>0</v>
      </c>
      <c r="E102" s="743">
        <v>0</v>
      </c>
      <c r="F102" s="743">
        <v>0</v>
      </c>
      <c r="G102" s="743">
        <v>0</v>
      </c>
      <c r="H102" s="743">
        <f>D102/12*7</f>
        <v>0</v>
      </c>
      <c r="I102" s="45">
        <f t="shared" si="1"/>
        <v>0</v>
      </c>
      <c r="J102" s="125" t="str">
        <f t="shared" si="2"/>
        <v/>
      </c>
      <c r="K102" s="745">
        <f>D102</f>
        <v>0</v>
      </c>
    </row>
    <row r="103" spans="1:11" ht="12.75" customHeight="1" x14ac:dyDescent="0.2">
      <c r="A103" s="553" t="s">
        <v>690</v>
      </c>
      <c r="B103" s="170"/>
      <c r="C103" s="250">
        <f t="shared" ref="C103:H103" si="22">SUM(C104:C108)</f>
        <v>0</v>
      </c>
      <c r="D103" s="265">
        <f t="shared" si="22"/>
        <v>0</v>
      </c>
      <c r="E103" s="100">
        <f t="shared" si="22"/>
        <v>0</v>
      </c>
      <c r="F103" s="100">
        <f t="shared" si="22"/>
        <v>0</v>
      </c>
      <c r="G103" s="100">
        <f t="shared" si="22"/>
        <v>0</v>
      </c>
      <c r="H103" s="100">
        <f t="shared" si="22"/>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 t="shared" si="1"/>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3">+C111+C114</f>
        <v>0</v>
      </c>
      <c r="D110" s="586">
        <f t="shared" si="23"/>
        <v>335000</v>
      </c>
      <c r="E110" s="587">
        <f t="shared" si="23"/>
        <v>335000</v>
      </c>
      <c r="F110" s="587">
        <f t="shared" si="23"/>
        <v>0</v>
      </c>
      <c r="G110" s="587">
        <f t="shared" si="23"/>
        <v>0</v>
      </c>
      <c r="H110" s="587">
        <f t="shared" si="23"/>
        <v>139583.33333333334</v>
      </c>
      <c r="I110" s="100">
        <f t="shared" si="1"/>
        <v>139583.33333333334</v>
      </c>
      <c r="J110" s="327">
        <f t="shared" si="2"/>
        <v>1</v>
      </c>
      <c r="K110" s="589">
        <f>+K111+K114</f>
        <v>335000</v>
      </c>
    </row>
    <row r="111" spans="1:11" ht="12.75" customHeight="1" x14ac:dyDescent="0.2">
      <c r="A111" s="521" t="s">
        <v>1331</v>
      </c>
      <c r="B111" s="170"/>
      <c r="C111" s="657">
        <f t="shared" ref="C111:H111" si="24">SUM(C112:C113)</f>
        <v>0</v>
      </c>
      <c r="D111" s="658">
        <f t="shared" si="24"/>
        <v>335000</v>
      </c>
      <c r="E111" s="411">
        <f t="shared" si="24"/>
        <v>335000</v>
      </c>
      <c r="F111" s="411">
        <f t="shared" si="24"/>
        <v>0</v>
      </c>
      <c r="G111" s="411">
        <f t="shared" si="24"/>
        <v>0</v>
      </c>
      <c r="H111" s="411">
        <f t="shared" si="24"/>
        <v>139583.33333333334</v>
      </c>
      <c r="I111" s="259">
        <f t="shared" si="1"/>
        <v>139583.33333333334</v>
      </c>
      <c r="J111" s="584">
        <f t="shared" si="2"/>
        <v>1</v>
      </c>
      <c r="K111" s="651">
        <f>SUM(K112:K113)</f>
        <v>335000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335000</v>
      </c>
      <c r="E113" s="743">
        <v>335000</v>
      </c>
      <c r="F113" s="743">
        <v>0</v>
      </c>
      <c r="G113" s="743">
        <v>0</v>
      </c>
      <c r="H113" s="743">
        <f>E113/12*5</f>
        <v>139583.33333333334</v>
      </c>
      <c r="I113" s="45">
        <f t="shared" si="1"/>
        <v>139583.33333333334</v>
      </c>
      <c r="J113" s="125">
        <f t="shared" si="2"/>
        <v>1</v>
      </c>
      <c r="K113" s="745">
        <f>D113</f>
        <v>335000</v>
      </c>
    </row>
    <row r="114" spans="1:11" ht="12.75" customHeight="1" x14ac:dyDescent="0.2">
      <c r="A114" s="521" t="s">
        <v>1334</v>
      </c>
      <c r="B114" s="170"/>
      <c r="C114" s="657">
        <f t="shared" ref="C114:H114" si="25">SUM(C115:C116)</f>
        <v>0</v>
      </c>
      <c r="D114" s="658">
        <f t="shared" si="25"/>
        <v>0</v>
      </c>
      <c r="E114" s="411">
        <f t="shared" si="25"/>
        <v>0</v>
      </c>
      <c r="F114" s="411">
        <f t="shared" si="25"/>
        <v>0</v>
      </c>
      <c r="G114" s="411">
        <f t="shared" si="25"/>
        <v>0</v>
      </c>
      <c r="H114" s="411">
        <f t="shared" si="25"/>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6">+C118+C130</f>
        <v>12628370.14078</v>
      </c>
      <c r="D117" s="586">
        <f t="shared" si="26"/>
        <v>1300000</v>
      </c>
      <c r="E117" s="587">
        <f t="shared" si="26"/>
        <v>1300000</v>
      </c>
      <c r="F117" s="587">
        <f t="shared" si="26"/>
        <v>0</v>
      </c>
      <c r="G117" s="587">
        <f t="shared" si="26"/>
        <v>0</v>
      </c>
      <c r="H117" s="587">
        <f t="shared" si="26"/>
        <v>541666.66666666663</v>
      </c>
      <c r="I117" s="587">
        <f t="shared" si="1"/>
        <v>541666.66666666663</v>
      </c>
      <c r="J117" s="588">
        <f t="shared" si="2"/>
        <v>1</v>
      </c>
      <c r="K117" s="589">
        <f>+K118+K130</f>
        <v>1300000</v>
      </c>
    </row>
    <row r="118" spans="1:11" ht="12.75" customHeight="1" x14ac:dyDescent="0.2">
      <c r="A118" s="521" t="s">
        <v>1335</v>
      </c>
      <c r="B118" s="170"/>
      <c r="C118" s="657">
        <f t="shared" ref="C118:H118" si="27">SUM(C119:C129)</f>
        <v>12628370.14078</v>
      </c>
      <c r="D118" s="658">
        <f t="shared" si="27"/>
        <v>1300000</v>
      </c>
      <c r="E118" s="411">
        <f t="shared" si="27"/>
        <v>1300000</v>
      </c>
      <c r="F118" s="411">
        <f t="shared" si="27"/>
        <v>0</v>
      </c>
      <c r="G118" s="411">
        <f t="shared" si="27"/>
        <v>0</v>
      </c>
      <c r="H118" s="411">
        <f t="shared" si="27"/>
        <v>541666.66666666663</v>
      </c>
      <c r="I118" s="259">
        <f t="shared" si="1"/>
        <v>541666.66666666663</v>
      </c>
      <c r="J118" s="584">
        <f t="shared" si="2"/>
        <v>1</v>
      </c>
      <c r="K118" s="651">
        <f>SUM(K119:K129)</f>
        <v>1300000</v>
      </c>
    </row>
    <row r="119" spans="1:11" ht="12.75" customHeight="1" x14ac:dyDescent="0.2">
      <c r="A119" s="583" t="s">
        <v>1336</v>
      </c>
      <c r="B119" s="170"/>
      <c r="C119" s="758">
        <v>12628370.14078</v>
      </c>
      <c r="D119" s="763">
        <v>1300000</v>
      </c>
      <c r="E119" s="743">
        <v>1300000</v>
      </c>
      <c r="F119" s="743">
        <v>0</v>
      </c>
      <c r="G119" s="743">
        <v>0</v>
      </c>
      <c r="H119" s="743">
        <f>E119/12*5</f>
        <v>541666.66666666663</v>
      </c>
      <c r="I119" s="45">
        <f t="shared" si="1"/>
        <v>541666.66666666663</v>
      </c>
      <c r="J119" s="125">
        <f t="shared" si="2"/>
        <v>1</v>
      </c>
      <c r="K119" s="745">
        <f>D119</f>
        <v>1300000</v>
      </c>
    </row>
    <row r="120" spans="1:11" ht="12.75" customHeight="1" x14ac:dyDescent="0.2">
      <c r="A120" s="583" t="s">
        <v>1337</v>
      </c>
      <c r="B120" s="170"/>
      <c r="C120" s="758">
        <v>0</v>
      </c>
      <c r="D120" s="763">
        <v>0</v>
      </c>
      <c r="E120" s="743">
        <v>0</v>
      </c>
      <c r="F120" s="743">
        <v>0</v>
      </c>
      <c r="G120" s="743">
        <v>0</v>
      </c>
      <c r="H120" s="743">
        <f t="shared" ref="H120:H129" si="28">D120/12*7</f>
        <v>0</v>
      </c>
      <c r="I120" s="45">
        <f t="shared" si="1"/>
        <v>0</v>
      </c>
      <c r="J120" s="125" t="str">
        <f t="shared" si="2"/>
        <v/>
      </c>
      <c r="K120" s="745">
        <f t="shared" ref="K120:K129" si="29">D120</f>
        <v>0</v>
      </c>
    </row>
    <row r="121" spans="1:11" ht="12.75" customHeight="1" x14ac:dyDescent="0.2">
      <c r="A121" s="583" t="s">
        <v>1338</v>
      </c>
      <c r="B121" s="170"/>
      <c r="C121" s="758">
        <v>0</v>
      </c>
      <c r="D121" s="763">
        <v>0</v>
      </c>
      <c r="E121" s="743">
        <v>0</v>
      </c>
      <c r="F121" s="743">
        <v>0</v>
      </c>
      <c r="G121" s="743">
        <v>0</v>
      </c>
      <c r="H121" s="743">
        <f t="shared" si="28"/>
        <v>0</v>
      </c>
      <c r="I121" s="45">
        <f t="shared" si="1"/>
        <v>0</v>
      </c>
      <c r="J121" s="125" t="str">
        <f t="shared" si="2"/>
        <v/>
      </c>
      <c r="K121" s="745">
        <f t="shared" si="29"/>
        <v>0</v>
      </c>
    </row>
    <row r="122" spans="1:11" ht="12.75" customHeight="1" x14ac:dyDescent="0.2">
      <c r="A122" s="583" t="s">
        <v>1339</v>
      </c>
      <c r="B122" s="170"/>
      <c r="C122" s="758">
        <v>0</v>
      </c>
      <c r="D122" s="763">
        <v>0</v>
      </c>
      <c r="E122" s="743">
        <v>0</v>
      </c>
      <c r="F122" s="743">
        <v>0</v>
      </c>
      <c r="G122" s="743">
        <v>0</v>
      </c>
      <c r="H122" s="743">
        <f t="shared" si="28"/>
        <v>0</v>
      </c>
      <c r="I122" s="45">
        <f t="shared" si="1"/>
        <v>0</v>
      </c>
      <c r="J122" s="125" t="str">
        <f t="shared" si="2"/>
        <v/>
      </c>
      <c r="K122" s="745">
        <f t="shared" si="29"/>
        <v>0</v>
      </c>
    </row>
    <row r="123" spans="1:11" ht="12.75" customHeight="1" x14ac:dyDescent="0.2">
      <c r="A123" s="583" t="s">
        <v>1340</v>
      </c>
      <c r="B123" s="170"/>
      <c r="C123" s="758">
        <v>0</v>
      </c>
      <c r="D123" s="763">
        <v>0</v>
      </c>
      <c r="E123" s="743">
        <v>0</v>
      </c>
      <c r="F123" s="743">
        <v>0</v>
      </c>
      <c r="G123" s="743">
        <v>0</v>
      </c>
      <c r="H123" s="743">
        <f t="shared" si="28"/>
        <v>0</v>
      </c>
      <c r="I123" s="45">
        <f t="shared" si="1"/>
        <v>0</v>
      </c>
      <c r="J123" s="125" t="str">
        <f t="shared" si="2"/>
        <v/>
      </c>
      <c r="K123" s="745">
        <f t="shared" si="29"/>
        <v>0</v>
      </c>
    </row>
    <row r="124" spans="1:11" ht="12.75" customHeight="1" x14ac:dyDescent="0.2">
      <c r="A124" s="583" t="s">
        <v>1341</v>
      </c>
      <c r="B124" s="170"/>
      <c r="C124" s="758">
        <v>0</v>
      </c>
      <c r="D124" s="763">
        <v>0</v>
      </c>
      <c r="E124" s="743">
        <v>0</v>
      </c>
      <c r="F124" s="743">
        <v>0</v>
      </c>
      <c r="G124" s="743">
        <v>0</v>
      </c>
      <c r="H124" s="743">
        <f t="shared" si="28"/>
        <v>0</v>
      </c>
      <c r="I124" s="45">
        <f t="shared" si="1"/>
        <v>0</v>
      </c>
      <c r="J124" s="125" t="str">
        <f t="shared" si="2"/>
        <v/>
      </c>
      <c r="K124" s="745">
        <f t="shared" si="29"/>
        <v>0</v>
      </c>
    </row>
    <row r="125" spans="1:11" ht="12.75" customHeight="1" x14ac:dyDescent="0.2">
      <c r="A125" s="583" t="s">
        <v>1342</v>
      </c>
      <c r="B125" s="170"/>
      <c r="C125" s="758">
        <v>0</v>
      </c>
      <c r="D125" s="763">
        <v>0</v>
      </c>
      <c r="E125" s="743">
        <v>0</v>
      </c>
      <c r="F125" s="743">
        <v>0</v>
      </c>
      <c r="G125" s="743">
        <v>0</v>
      </c>
      <c r="H125" s="743">
        <f t="shared" si="28"/>
        <v>0</v>
      </c>
      <c r="I125" s="45">
        <f t="shared" si="1"/>
        <v>0</v>
      </c>
      <c r="J125" s="125" t="str">
        <f t="shared" si="2"/>
        <v/>
      </c>
      <c r="K125" s="745">
        <f t="shared" si="29"/>
        <v>0</v>
      </c>
    </row>
    <row r="126" spans="1:11" ht="12.75" customHeight="1" x14ac:dyDescent="0.2">
      <c r="A126" s="583" t="s">
        <v>1343</v>
      </c>
      <c r="B126" s="170"/>
      <c r="C126" s="758">
        <v>0</v>
      </c>
      <c r="D126" s="763">
        <v>0</v>
      </c>
      <c r="E126" s="743">
        <v>0</v>
      </c>
      <c r="F126" s="743">
        <v>0</v>
      </c>
      <c r="G126" s="743">
        <v>0</v>
      </c>
      <c r="H126" s="743">
        <f t="shared" si="28"/>
        <v>0</v>
      </c>
      <c r="I126" s="45">
        <f t="shared" si="1"/>
        <v>0</v>
      </c>
      <c r="J126" s="125" t="str">
        <f t="shared" si="2"/>
        <v/>
      </c>
      <c r="K126" s="745">
        <f t="shared" si="29"/>
        <v>0</v>
      </c>
    </row>
    <row r="127" spans="1:11" ht="12.75" customHeight="1" x14ac:dyDescent="0.2">
      <c r="A127" s="583" t="s">
        <v>1344</v>
      </c>
      <c r="B127" s="170"/>
      <c r="C127" s="758">
        <v>0</v>
      </c>
      <c r="D127" s="763">
        <v>0</v>
      </c>
      <c r="E127" s="743">
        <v>0</v>
      </c>
      <c r="F127" s="743">
        <v>0</v>
      </c>
      <c r="G127" s="743">
        <v>0</v>
      </c>
      <c r="H127" s="743">
        <f t="shared" si="28"/>
        <v>0</v>
      </c>
      <c r="I127" s="45">
        <f t="shared" si="1"/>
        <v>0</v>
      </c>
      <c r="J127" s="125" t="str">
        <f t="shared" si="2"/>
        <v/>
      </c>
      <c r="K127" s="745">
        <f t="shared" si="29"/>
        <v>0</v>
      </c>
    </row>
    <row r="128" spans="1:11" ht="12.75" customHeight="1" x14ac:dyDescent="0.2">
      <c r="A128" s="583" t="s">
        <v>1345</v>
      </c>
      <c r="B128" s="170"/>
      <c r="C128" s="758">
        <v>0</v>
      </c>
      <c r="D128" s="763">
        <v>0</v>
      </c>
      <c r="E128" s="743">
        <v>0</v>
      </c>
      <c r="F128" s="743">
        <v>0</v>
      </c>
      <c r="G128" s="743">
        <v>0</v>
      </c>
      <c r="H128" s="743">
        <f t="shared" si="28"/>
        <v>0</v>
      </c>
      <c r="I128" s="45">
        <f t="shared" si="1"/>
        <v>0</v>
      </c>
      <c r="J128" s="125" t="str">
        <f t="shared" si="2"/>
        <v/>
      </c>
      <c r="K128" s="745">
        <f t="shared" si="29"/>
        <v>0</v>
      </c>
    </row>
    <row r="129" spans="1:11" ht="12.75" customHeight="1" x14ac:dyDescent="0.2">
      <c r="A129" s="583" t="s">
        <v>1256</v>
      </c>
      <c r="B129" s="170"/>
      <c r="C129" s="758">
        <v>0</v>
      </c>
      <c r="D129" s="763">
        <v>0</v>
      </c>
      <c r="E129" s="743">
        <v>0</v>
      </c>
      <c r="F129" s="743">
        <v>0</v>
      </c>
      <c r="G129" s="743">
        <v>0</v>
      </c>
      <c r="H129" s="743">
        <f t="shared" si="28"/>
        <v>0</v>
      </c>
      <c r="I129" s="45">
        <f t="shared" si="1"/>
        <v>0</v>
      </c>
      <c r="J129" s="125" t="str">
        <f t="shared" si="2"/>
        <v/>
      </c>
      <c r="K129" s="745">
        <f t="shared" si="29"/>
        <v>0</v>
      </c>
    </row>
    <row r="130" spans="1:11" ht="12.75" customHeight="1" x14ac:dyDescent="0.2">
      <c r="A130" s="521" t="s">
        <v>733</v>
      </c>
      <c r="B130" s="170"/>
      <c r="C130" s="657">
        <f t="shared" ref="C130:H130" si="30">SUM(C131:C133)</f>
        <v>0</v>
      </c>
      <c r="D130" s="658">
        <f t="shared" si="30"/>
        <v>0</v>
      </c>
      <c r="E130" s="411">
        <f t="shared" si="30"/>
        <v>0</v>
      </c>
      <c r="F130" s="411">
        <f t="shared" si="30"/>
        <v>0</v>
      </c>
      <c r="G130" s="411">
        <f t="shared" si="30"/>
        <v>0</v>
      </c>
      <c r="H130" s="411">
        <f t="shared" si="30"/>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1">SUM(C136:C136)</f>
        <v>0</v>
      </c>
      <c r="D135" s="586">
        <f t="shared" si="31"/>
        <v>0</v>
      </c>
      <c r="E135" s="587">
        <f t="shared" si="31"/>
        <v>0</v>
      </c>
      <c r="F135" s="587">
        <f t="shared" si="31"/>
        <v>0</v>
      </c>
      <c r="G135" s="587">
        <f t="shared" si="31"/>
        <v>0</v>
      </c>
      <c r="H135" s="587">
        <f t="shared" si="31"/>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32">IF(I137=0,"",I137/H137)</f>
        <v/>
      </c>
      <c r="K137" s="145"/>
    </row>
    <row r="138" spans="1:11" s="101" customFormat="1" ht="12.75" customHeight="1" x14ac:dyDescent="0.2">
      <c r="A138" s="553" t="s">
        <v>1349</v>
      </c>
      <c r="B138" s="172"/>
      <c r="C138" s="952">
        <f t="shared" ref="C138:H138" si="33">SUM(C139:C140)</f>
        <v>2027116.9139999999</v>
      </c>
      <c r="D138" s="953">
        <f t="shared" si="33"/>
        <v>0</v>
      </c>
      <c r="E138" s="954">
        <f t="shared" si="33"/>
        <v>0</v>
      </c>
      <c r="F138" s="954">
        <f t="shared" si="33"/>
        <v>0</v>
      </c>
      <c r="G138" s="954">
        <f t="shared" si="33"/>
        <v>0</v>
      </c>
      <c r="H138" s="954">
        <f t="shared" si="33"/>
        <v>0</v>
      </c>
      <c r="I138" s="954">
        <f t="shared" ref="I138:I146" si="34">H138-G138</f>
        <v>0</v>
      </c>
      <c r="J138" s="327" t="str">
        <f t="shared" si="32"/>
        <v/>
      </c>
      <c r="K138" s="955">
        <f>SUM(K139:K140)</f>
        <v>0</v>
      </c>
    </row>
    <row r="139" spans="1:11" ht="12.75" customHeight="1" x14ac:dyDescent="0.2">
      <c r="A139" s="520" t="s">
        <v>1350</v>
      </c>
      <c r="B139" s="170"/>
      <c r="C139" s="758">
        <v>0</v>
      </c>
      <c r="D139" s="763">
        <v>0</v>
      </c>
      <c r="E139" s="743">
        <v>0</v>
      </c>
      <c r="F139" s="743">
        <v>0</v>
      </c>
      <c r="G139" s="743">
        <v>0</v>
      </c>
      <c r="H139" s="743">
        <v>0</v>
      </c>
      <c r="I139" s="45">
        <f t="shared" si="34"/>
        <v>0</v>
      </c>
      <c r="J139" s="125" t="str">
        <f t="shared" si="32"/>
        <v/>
      </c>
      <c r="K139" s="745">
        <v>0</v>
      </c>
    </row>
    <row r="140" spans="1:11" ht="12.75" customHeight="1" x14ac:dyDescent="0.2">
      <c r="A140" s="520" t="s">
        <v>1351</v>
      </c>
      <c r="B140" s="170"/>
      <c r="C140" s="657">
        <f t="shared" ref="C140:H140" si="35">SUM(C141:C146)</f>
        <v>2027116.9139999999</v>
      </c>
      <c r="D140" s="658">
        <f t="shared" si="35"/>
        <v>0</v>
      </c>
      <c r="E140" s="411">
        <f t="shared" si="35"/>
        <v>0</v>
      </c>
      <c r="F140" s="411">
        <f t="shared" si="35"/>
        <v>0</v>
      </c>
      <c r="G140" s="411">
        <f t="shared" si="35"/>
        <v>0</v>
      </c>
      <c r="H140" s="411">
        <f t="shared" si="35"/>
        <v>0</v>
      </c>
      <c r="I140" s="259">
        <f t="shared" si="34"/>
        <v>0</v>
      </c>
      <c r="J140" s="584" t="str">
        <f t="shared" si="32"/>
        <v/>
      </c>
      <c r="K140" s="651">
        <f>SUM(K141:K146)</f>
        <v>0</v>
      </c>
    </row>
    <row r="141" spans="1:11" ht="12.75" customHeight="1" x14ac:dyDescent="0.2">
      <c r="A141" s="583" t="s">
        <v>1352</v>
      </c>
      <c r="B141" s="170"/>
      <c r="C141" s="758">
        <v>0</v>
      </c>
      <c r="D141" s="763">
        <v>0</v>
      </c>
      <c r="E141" s="743">
        <v>0</v>
      </c>
      <c r="F141" s="743">
        <v>0</v>
      </c>
      <c r="G141" s="743">
        <v>0</v>
      </c>
      <c r="H141" s="743">
        <v>0</v>
      </c>
      <c r="I141" s="45">
        <f t="shared" si="34"/>
        <v>0</v>
      </c>
      <c r="J141" s="125" t="str">
        <f t="shared" si="32"/>
        <v/>
      </c>
      <c r="K141" s="745">
        <f t="shared" ref="K141:K146" si="36">D141</f>
        <v>0</v>
      </c>
    </row>
    <row r="142" spans="1:11" ht="12.75" customHeight="1" x14ac:dyDescent="0.2">
      <c r="A142" s="583" t="s">
        <v>1353</v>
      </c>
      <c r="B142" s="170"/>
      <c r="C142" s="758">
        <v>0</v>
      </c>
      <c r="D142" s="763">
        <v>0</v>
      </c>
      <c r="E142" s="743">
        <v>0</v>
      </c>
      <c r="F142" s="743">
        <v>0</v>
      </c>
      <c r="G142" s="743">
        <v>0</v>
      </c>
      <c r="H142" s="743">
        <v>0</v>
      </c>
      <c r="I142" s="45">
        <f t="shared" si="34"/>
        <v>0</v>
      </c>
      <c r="J142" s="125" t="str">
        <f t="shared" si="32"/>
        <v/>
      </c>
      <c r="K142" s="745">
        <f t="shared" si="36"/>
        <v>0</v>
      </c>
    </row>
    <row r="143" spans="1:11" ht="12.75" customHeight="1" x14ac:dyDescent="0.2">
      <c r="A143" s="583" t="s">
        <v>1354</v>
      </c>
      <c r="B143" s="170"/>
      <c r="C143" s="758">
        <v>0</v>
      </c>
      <c r="D143" s="763">
        <v>0</v>
      </c>
      <c r="E143" s="743">
        <v>0</v>
      </c>
      <c r="F143" s="743">
        <v>0</v>
      </c>
      <c r="G143" s="743">
        <v>0</v>
      </c>
      <c r="H143" s="743">
        <v>0</v>
      </c>
      <c r="I143" s="45">
        <f t="shared" si="34"/>
        <v>0</v>
      </c>
      <c r="J143" s="125" t="str">
        <f t="shared" si="32"/>
        <v/>
      </c>
      <c r="K143" s="745">
        <f t="shared" si="36"/>
        <v>0</v>
      </c>
    </row>
    <row r="144" spans="1:11" ht="12.75" customHeight="1" x14ac:dyDescent="0.2">
      <c r="A144" s="583" t="s">
        <v>1355</v>
      </c>
      <c r="B144" s="170"/>
      <c r="C144" s="758">
        <v>2027116.9139999999</v>
      </c>
      <c r="D144" s="763">
        <v>0</v>
      </c>
      <c r="E144" s="743">
        <v>0</v>
      </c>
      <c r="F144" s="763">
        <v>0</v>
      </c>
      <c r="G144" s="743">
        <v>0</v>
      </c>
      <c r="H144" s="763">
        <v>0</v>
      </c>
      <c r="I144" s="45">
        <f t="shared" si="34"/>
        <v>0</v>
      </c>
      <c r="J144" s="125" t="str">
        <f t="shared" si="32"/>
        <v/>
      </c>
      <c r="K144" s="745">
        <f t="shared" si="36"/>
        <v>0</v>
      </c>
    </row>
    <row r="145" spans="1:12" ht="12.75" customHeight="1" x14ac:dyDescent="0.2">
      <c r="A145" s="583" t="s">
        <v>1356</v>
      </c>
      <c r="B145" s="170"/>
      <c r="C145" s="758">
        <v>0</v>
      </c>
      <c r="D145" s="763">
        <v>0</v>
      </c>
      <c r="E145" s="743">
        <v>0</v>
      </c>
      <c r="F145" s="763">
        <v>0</v>
      </c>
      <c r="G145" s="743">
        <v>0</v>
      </c>
      <c r="H145" s="763">
        <v>0</v>
      </c>
      <c r="I145" s="45">
        <f t="shared" si="34"/>
        <v>0</v>
      </c>
      <c r="J145" s="125" t="str">
        <f t="shared" si="32"/>
        <v/>
      </c>
      <c r="K145" s="745">
        <f t="shared" si="36"/>
        <v>0</v>
      </c>
    </row>
    <row r="146" spans="1:12" ht="12.75" customHeight="1" x14ac:dyDescent="0.2">
      <c r="A146" s="583" t="s">
        <v>1357</v>
      </c>
      <c r="B146" s="170"/>
      <c r="C146" s="758">
        <v>0</v>
      </c>
      <c r="D146" s="763">
        <v>0</v>
      </c>
      <c r="E146" s="743">
        <v>0</v>
      </c>
      <c r="F146" s="763">
        <v>0</v>
      </c>
      <c r="G146" s="743">
        <v>0</v>
      </c>
      <c r="H146" s="763">
        <v>0</v>
      </c>
      <c r="I146" s="45">
        <f t="shared" si="34"/>
        <v>0</v>
      </c>
      <c r="J146" s="125" t="str">
        <f t="shared" si="32"/>
        <v/>
      </c>
      <c r="K146" s="745">
        <f t="shared" si="36"/>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7">SUM(C149:C149)</f>
        <v>0</v>
      </c>
      <c r="D148" s="586">
        <f t="shared" si="37"/>
        <v>0</v>
      </c>
      <c r="E148" s="587">
        <f t="shared" si="37"/>
        <v>0</v>
      </c>
      <c r="F148" s="587">
        <f t="shared" si="37"/>
        <v>0</v>
      </c>
      <c r="G148" s="587">
        <f t="shared" si="37"/>
        <v>0</v>
      </c>
      <c r="H148" s="587">
        <f t="shared" si="37"/>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f>E149</f>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8">SUM(C152:C152)</f>
        <v>0</v>
      </c>
      <c r="D151" s="586">
        <f t="shared" si="38"/>
        <v>0</v>
      </c>
      <c r="E151" s="587">
        <f t="shared" si="38"/>
        <v>0</v>
      </c>
      <c r="F151" s="587">
        <f t="shared" si="38"/>
        <v>0</v>
      </c>
      <c r="G151" s="587">
        <f t="shared" si="38"/>
        <v>0</v>
      </c>
      <c r="H151" s="587">
        <f t="shared" si="38"/>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9">SUM(C155:C155)</f>
        <v>0</v>
      </c>
      <c r="D154" s="586">
        <f t="shared" si="39"/>
        <v>0</v>
      </c>
      <c r="E154" s="587">
        <f t="shared" si="39"/>
        <v>0</v>
      </c>
      <c r="F154" s="587">
        <f t="shared" si="39"/>
        <v>0</v>
      </c>
      <c r="G154" s="587">
        <f t="shared" si="39"/>
        <v>0</v>
      </c>
      <c r="H154" s="587">
        <f t="shared" si="39"/>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0">SUM(C158:C158)</f>
        <v>0</v>
      </c>
      <c r="D157" s="586">
        <f t="shared" si="40"/>
        <v>0</v>
      </c>
      <c r="E157" s="587">
        <f t="shared" si="40"/>
        <v>0</v>
      </c>
      <c r="F157" s="587">
        <f t="shared" si="40"/>
        <v>0</v>
      </c>
      <c r="G157" s="587">
        <f t="shared" si="40"/>
        <v>0</v>
      </c>
      <c r="H157" s="587">
        <f t="shared" si="40"/>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1">SUM(C161:C161)</f>
        <v>0</v>
      </c>
      <c r="D160" s="586">
        <f t="shared" si="41"/>
        <v>0</v>
      </c>
      <c r="E160" s="587">
        <f t="shared" si="41"/>
        <v>0</v>
      </c>
      <c r="F160" s="587">
        <f t="shared" si="41"/>
        <v>0</v>
      </c>
      <c r="G160" s="587">
        <f t="shared" si="41"/>
        <v>0</v>
      </c>
      <c r="H160" s="587">
        <f t="shared" si="41"/>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42">SUM(C164:C164)</f>
        <v>0</v>
      </c>
      <c r="D163" s="586">
        <f t="shared" si="42"/>
        <v>0</v>
      </c>
      <c r="E163" s="587">
        <f t="shared" si="42"/>
        <v>0</v>
      </c>
      <c r="F163" s="587">
        <f t="shared" si="42"/>
        <v>0</v>
      </c>
      <c r="G163" s="587">
        <f t="shared" si="42"/>
        <v>0</v>
      </c>
      <c r="H163" s="587">
        <f t="shared" si="42"/>
        <v>0</v>
      </c>
      <c r="I163" s="587">
        <f>H163-G163</f>
        <v>0</v>
      </c>
      <c r="J163" s="327" t="str">
        <f>IF(I163=0,"",I163/H163)</f>
        <v/>
      </c>
      <c r="K163" s="589">
        <f>SUM(K164)</f>
        <v>0</v>
      </c>
    </row>
    <row r="164" spans="1:11" ht="12.75" customHeight="1" x14ac:dyDescent="0.2">
      <c r="A164" s="521" t="s">
        <v>1362</v>
      </c>
      <c r="B164" s="170"/>
      <c r="C164" s="758"/>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1365</v>
      </c>
      <c r="B166" s="237">
        <v>1</v>
      </c>
      <c r="C166" s="113">
        <f t="shared" ref="C166:H166" si="43">C7+C75+C103+C110+C117+C135+C138+C148+C151+C154+C157+C160+C163</f>
        <v>170516160.05991518</v>
      </c>
      <c r="D166" s="272">
        <f t="shared" si="43"/>
        <v>460109345</v>
      </c>
      <c r="E166" s="56">
        <f t="shared" si="43"/>
        <v>443939384</v>
      </c>
      <c r="F166" s="56">
        <f t="shared" si="43"/>
        <v>38771630.886</v>
      </c>
      <c r="G166" s="56">
        <f t="shared" si="43"/>
        <v>70044553.194499806</v>
      </c>
      <c r="H166" s="56">
        <f t="shared" si="43"/>
        <v>184974743.33333334</v>
      </c>
      <c r="I166" s="56">
        <f>H166-G166</f>
        <v>114930190.13883354</v>
      </c>
      <c r="J166" s="293">
        <f>IF(I166=0,"",I166/H166)</f>
        <v>0.62132909643628387</v>
      </c>
      <c r="K166" s="236">
        <f>K7+K75+K103+K110+K117+K135+K138+K148+K151+K154+K157+K160+K163</f>
        <v>443939376</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C166+SC13a!C166+SC13b!C166-'C5-Capex'!C40</f>
        <v>0</v>
      </c>
      <c r="D171" s="136">
        <f>D166+SC13a!D166+SC13b!D166-'C5-Capex'!D40</f>
        <v>0</v>
      </c>
      <c r="E171" s="136">
        <f>E166+SC13a!E166+SC13b!E166-'C5-Capex'!E40</f>
        <v>0</v>
      </c>
      <c r="F171" s="136">
        <f>F166+SC13a!F166+SC13b!F166-'C5-Capex'!F40</f>
        <v>0</v>
      </c>
      <c r="G171" s="136">
        <f>G166+SC13a!G166+SC13b!G166-'C5-Capex'!G40</f>
        <v>1.4998912811279297E-3</v>
      </c>
      <c r="H171" s="136">
        <f>H166+SC13a!H166+SC13b!H166-'C5-Capex'!H40</f>
        <v>0</v>
      </c>
      <c r="I171" s="136"/>
      <c r="J171" s="136"/>
      <c r="K171" s="136">
        <f>K166+SC13a!K166+SC13b!K166-'C5-Capex'!K40</f>
        <v>25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85" workbookViewId="0">
      <selection activeCell="J113" sqref="J113"/>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2019/20 Capital Expenditure Monthly Trend: actual v target</v>
      </c>
      <c r="B1" s="339"/>
      <c r="C1" s="339"/>
      <c r="D1" s="339"/>
      <c r="E1" s="342"/>
      <c r="F1" s="68"/>
      <c r="G1" s="68"/>
      <c r="H1" s="68"/>
      <c r="I1" s="68"/>
    </row>
    <row r="2" spans="1:11" x14ac:dyDescent="0.2">
      <c r="A2" s="316" t="s">
        <v>912</v>
      </c>
      <c r="B2" s="361" t="str">
        <f>'SC12'!B2</f>
        <v>2018/19</v>
      </c>
      <c r="C2" s="361" t="str">
        <f>'SC12'!C3</f>
        <v>Original Budget</v>
      </c>
      <c r="D2" s="361" t="str">
        <f>'SC12'!D3</f>
        <v>Adjusted Budget</v>
      </c>
      <c r="E2" s="362" t="str">
        <f>'SC12'!E3</f>
        <v>Monthly actual</v>
      </c>
      <c r="F2" s="62"/>
      <c r="G2" s="62"/>
      <c r="H2" s="62"/>
      <c r="I2" s="62"/>
    </row>
    <row r="3" spans="1:11" x14ac:dyDescent="0.2">
      <c r="A3" s="43" t="str">
        <f>LEFT('SC12'!A6,3)</f>
        <v>Jul</v>
      </c>
      <c r="B3" s="44">
        <f>'SC12'!B6</f>
        <v>59892</v>
      </c>
      <c r="C3" s="44">
        <f>'SC12'!C6</f>
        <v>38885000</v>
      </c>
      <c r="D3" s="44">
        <f>'SC12'!D6</f>
        <v>85297669.120000005</v>
      </c>
      <c r="E3" s="46">
        <f>'SC12'!E6</f>
        <v>85297669.120000005</v>
      </c>
      <c r="F3" s="44"/>
      <c r="G3" s="44"/>
      <c r="H3" s="44"/>
      <c r="I3" s="44"/>
      <c r="J3" s="44"/>
      <c r="K3" s="44"/>
    </row>
    <row r="4" spans="1:11" x14ac:dyDescent="0.2">
      <c r="A4" s="43" t="str">
        <f>LEFT('SC12'!A7,3)</f>
        <v>Aug</v>
      </c>
      <c r="B4" s="44">
        <f>'SC12'!B7</f>
        <v>114658356.07565999</v>
      </c>
      <c r="C4" s="44">
        <f>'SC12'!C7</f>
        <v>52927000</v>
      </c>
      <c r="D4" s="44">
        <f>'SC12'!D7</f>
        <v>45515291.767000005</v>
      </c>
      <c r="E4" s="46">
        <f>'SC12'!E7</f>
        <v>45515291.767000005</v>
      </c>
      <c r="F4" s="44"/>
      <c r="G4" s="44"/>
      <c r="H4" s="44"/>
      <c r="I4" s="44"/>
      <c r="J4" s="44"/>
      <c r="K4" s="44"/>
    </row>
    <row r="5" spans="1:11" x14ac:dyDescent="0.2">
      <c r="A5" s="43" t="str">
        <f>LEFT('SC12'!A8,3)</f>
        <v>Sep</v>
      </c>
      <c r="B5" s="44">
        <f>'SC12'!B8</f>
        <v>81613647.633128002</v>
      </c>
      <c r="C5" s="44">
        <f>'SC12'!C8</f>
        <v>87521000</v>
      </c>
      <c r="D5" s="44">
        <f>'SC12'!D8</f>
        <v>63024484.609000005</v>
      </c>
      <c r="E5" s="46">
        <f>'SC12'!E8</f>
        <v>63024484.609000005</v>
      </c>
      <c r="F5" s="44"/>
      <c r="G5" s="44"/>
      <c r="H5" s="44"/>
      <c r="I5" s="44"/>
      <c r="J5" s="44"/>
      <c r="K5" s="44"/>
    </row>
    <row r="6" spans="1:11" x14ac:dyDescent="0.2">
      <c r="A6" s="43" t="str">
        <f>LEFT('SC12'!A9,3)</f>
        <v>Oct</v>
      </c>
      <c r="B6" s="44">
        <f>'SC12'!B9</f>
        <v>125253452.40719202</v>
      </c>
      <c r="C6" s="44">
        <f>'SC12'!C9</f>
        <v>116093000</v>
      </c>
      <c r="D6" s="44">
        <f>'SC12'!D9</f>
        <v>63068303.311999992</v>
      </c>
      <c r="E6" s="46">
        <f>'SC12'!E9</f>
        <v>63068303.311999992</v>
      </c>
      <c r="F6" s="44"/>
      <c r="G6" s="44"/>
      <c r="H6" s="44"/>
      <c r="I6" s="44"/>
      <c r="J6" s="44"/>
      <c r="K6" s="44"/>
    </row>
    <row r="7" spans="1:11" x14ac:dyDescent="0.2">
      <c r="A7" s="43" t="str">
        <f>LEFT('SC12'!A10,3)</f>
        <v>Nov</v>
      </c>
      <c r="B7" s="44">
        <f>'SC12'!B10</f>
        <v>117057421.92475198</v>
      </c>
      <c r="C7" s="44">
        <f>'SC12'!C10</f>
        <v>116300000</v>
      </c>
      <c r="D7" s="44">
        <f>'SC12'!D10</f>
        <v>124247725.67</v>
      </c>
      <c r="E7" s="46">
        <f>'SC12'!E10</f>
        <v>124247725.67</v>
      </c>
      <c r="F7" s="44"/>
      <c r="G7" s="44"/>
      <c r="H7" s="44"/>
      <c r="I7" s="44"/>
      <c r="J7" s="44"/>
      <c r="K7" s="44"/>
    </row>
    <row r="8" spans="1:11" x14ac:dyDescent="0.2">
      <c r="A8" s="43" t="str">
        <f>LEFT('SC12'!A11,3)</f>
        <v>Dec</v>
      </c>
      <c r="B8" s="44">
        <f>'SC12'!B11</f>
        <v>123680771.70764397</v>
      </c>
      <c r="C8" s="44">
        <f>'SC12'!C11</f>
        <v>132266000</v>
      </c>
      <c r="D8" s="44">
        <f>'SC12'!D11</f>
        <v>131868000</v>
      </c>
      <c r="E8" s="46">
        <f>'SC12'!E11</f>
        <v>0</v>
      </c>
      <c r="F8" s="44"/>
      <c r="G8" s="44"/>
      <c r="H8" s="44"/>
      <c r="I8" s="44"/>
      <c r="J8" s="44"/>
      <c r="K8" s="44"/>
    </row>
    <row r="9" spans="1:11" x14ac:dyDescent="0.2">
      <c r="A9" s="43" t="str">
        <f>LEFT('SC12'!A12,3)</f>
        <v>Jan</v>
      </c>
      <c r="B9" s="44">
        <f>'SC12'!B12</f>
        <v>56304819.371612005</v>
      </c>
      <c r="C9" s="44">
        <f>'SC12'!C12</f>
        <v>132336000</v>
      </c>
      <c r="D9" s="44">
        <f>'SC12'!D12</f>
        <v>131938000</v>
      </c>
      <c r="E9" s="46">
        <f>'SC12'!E12</f>
        <v>0</v>
      </c>
      <c r="F9" s="44"/>
      <c r="G9" s="44"/>
      <c r="H9" s="44"/>
      <c r="I9" s="44"/>
      <c r="J9" s="44"/>
      <c r="K9" s="44"/>
    </row>
    <row r="10" spans="1:11" x14ac:dyDescent="0.2">
      <c r="A10" s="43" t="str">
        <f>LEFT('SC12'!A13,3)</f>
        <v>Feb</v>
      </c>
      <c r="B10" s="44">
        <f>'SC12'!B13</f>
        <v>29352943.087880004</v>
      </c>
      <c r="C10" s="44">
        <f>'SC12'!C13</f>
        <v>132336000</v>
      </c>
      <c r="D10" s="44">
        <f>'SC12'!D13</f>
        <v>131938000</v>
      </c>
      <c r="E10" s="46">
        <f>'SC12'!E13</f>
        <v>0</v>
      </c>
      <c r="F10" s="44"/>
      <c r="G10" s="44"/>
      <c r="H10" s="44"/>
      <c r="I10" s="44"/>
      <c r="J10" s="44"/>
      <c r="K10" s="44"/>
    </row>
    <row r="11" spans="1:11" x14ac:dyDescent="0.2">
      <c r="A11" s="43" t="str">
        <f>LEFT('SC12'!A14,3)</f>
        <v>Mar</v>
      </c>
      <c r="B11" s="44">
        <f>'SC12'!B14</f>
        <v>152645868.564648</v>
      </c>
      <c r="C11" s="44">
        <f>'SC12'!C14</f>
        <v>199883000</v>
      </c>
      <c r="D11" s="44">
        <f>'SC12'!D14</f>
        <v>199282000</v>
      </c>
      <c r="E11" s="46">
        <f>'SC12'!E14</f>
        <v>0</v>
      </c>
      <c r="F11" s="44"/>
      <c r="G11" s="44"/>
      <c r="H11" s="44"/>
      <c r="I11" s="44"/>
      <c r="J11" s="44"/>
      <c r="K11" s="44"/>
    </row>
    <row r="12" spans="1:11" x14ac:dyDescent="0.2">
      <c r="A12" s="43" t="str">
        <f>LEFT('SC12'!A15,3)</f>
        <v>Apr</v>
      </c>
      <c r="B12" s="44">
        <f>'SC12'!B15</f>
        <v>67570203.105097041</v>
      </c>
      <c r="C12" s="44">
        <f>'SC12'!C15</f>
        <v>227676000</v>
      </c>
      <c r="D12" s="44">
        <f>'SC12'!D15</f>
        <v>226991000</v>
      </c>
      <c r="E12" s="46">
        <f>'SC12'!E15</f>
        <v>0</v>
      </c>
      <c r="F12" s="44"/>
      <c r="G12" s="44"/>
      <c r="H12" s="44"/>
      <c r="I12" s="44"/>
      <c r="J12" s="44"/>
      <c r="K12" s="44"/>
    </row>
    <row r="13" spans="1:11" x14ac:dyDescent="0.2">
      <c r="A13" s="43" t="str">
        <f>LEFT('SC12'!A16,3)</f>
        <v>May</v>
      </c>
      <c r="B13" s="44">
        <f>'SC12'!B16</f>
        <v>36486409.166999996</v>
      </c>
      <c r="C13" s="44">
        <f>'SC12'!C16</f>
        <v>297703000</v>
      </c>
      <c r="D13" s="44">
        <f>'SC12'!D16</f>
        <v>278808000</v>
      </c>
      <c r="E13" s="46">
        <f>'SC12'!E16</f>
        <v>0</v>
      </c>
      <c r="F13" s="44"/>
      <c r="G13" s="44"/>
      <c r="H13" s="44"/>
      <c r="I13" s="44"/>
      <c r="J13" s="44"/>
      <c r="K13" s="44"/>
    </row>
    <row r="14" spans="1:11" x14ac:dyDescent="0.2">
      <c r="A14" s="92" t="str">
        <f>LEFT('SC12'!A17,3)</f>
        <v>Jun</v>
      </c>
      <c r="B14" s="359">
        <f>'SC12'!B17</f>
        <v>155412588.42163199</v>
      </c>
      <c r="C14" s="359">
        <f>'SC12'!C17</f>
        <v>355259999.60000002</v>
      </c>
      <c r="D14" s="359">
        <f>'SC12'!D17</f>
        <v>348653637.52199984</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2019/20 Capital Expenditure: YTD actual v YTD target</v>
      </c>
      <c r="B26" s="366"/>
      <c r="C26" s="366"/>
      <c r="D26" s="367"/>
      <c r="E26" s="62"/>
      <c r="F26" s="62"/>
      <c r="G26" s="62"/>
      <c r="H26" s="62"/>
      <c r="I26" s="62"/>
    </row>
    <row r="27" spans="1:10" x14ac:dyDescent="0.2">
      <c r="A27" s="316" t="s">
        <v>912</v>
      </c>
      <c r="B27" s="361" t="str">
        <f>'SC12'!F3</f>
        <v>YearTD actual</v>
      </c>
      <c r="C27" s="361" t="str">
        <f>'SC12'!G3</f>
        <v>YearTD budget</v>
      </c>
      <c r="D27" s="273"/>
      <c r="E27" s="62"/>
      <c r="F27" s="62"/>
      <c r="G27" s="62"/>
      <c r="H27" s="62"/>
      <c r="I27" s="62"/>
      <c r="J27" s="68"/>
    </row>
    <row r="28" spans="1:10" x14ac:dyDescent="0.2">
      <c r="A28" s="363" t="str">
        <f>LEFT('SC12'!A6,3)</f>
        <v>Jul</v>
      </c>
      <c r="B28" s="364">
        <f>'SC12'!F6</f>
        <v>85297669.120000005</v>
      </c>
      <c r="C28" s="365">
        <f>'SC12'!G6</f>
        <v>85297669.120000005</v>
      </c>
      <c r="D28" s="44"/>
      <c r="E28" s="44"/>
      <c r="F28" s="44"/>
      <c r="G28" s="44"/>
      <c r="H28" s="44"/>
      <c r="I28" s="44"/>
    </row>
    <row r="29" spans="1:10" x14ac:dyDescent="0.2">
      <c r="A29" s="43" t="str">
        <f>LEFT('SC12'!A7,3)</f>
        <v>Aug</v>
      </c>
      <c r="B29" s="44">
        <f>'SC12'!F7</f>
        <v>130812960.88700001</v>
      </c>
      <c r="C29" s="46">
        <f>'SC12'!G7</f>
        <v>130812960.88700001</v>
      </c>
      <c r="D29" s="44"/>
      <c r="E29" s="44"/>
      <c r="F29" s="44"/>
      <c r="G29" s="44"/>
      <c r="H29" s="44"/>
      <c r="I29" s="44"/>
    </row>
    <row r="30" spans="1:10" x14ac:dyDescent="0.2">
      <c r="A30" s="43" t="str">
        <f>LEFT('SC12'!A8,3)</f>
        <v>Sep</v>
      </c>
      <c r="B30" s="44">
        <f>'SC12'!F8</f>
        <v>193837445.49600002</v>
      </c>
      <c r="C30" s="46">
        <f>'SC12'!G8</f>
        <v>193837445.49600002</v>
      </c>
      <c r="D30" s="44"/>
      <c r="E30" s="44"/>
      <c r="F30" s="44"/>
      <c r="G30" s="44"/>
      <c r="H30" s="44"/>
      <c r="I30" s="44"/>
    </row>
    <row r="31" spans="1:10" x14ac:dyDescent="0.2">
      <c r="A31" s="43" t="str">
        <f>LEFT('SC12'!A9,3)</f>
        <v>Oct</v>
      </c>
      <c r="B31" s="44">
        <f>'SC12'!F9</f>
        <v>256905748.80800003</v>
      </c>
      <c r="C31" s="46">
        <f>'SC12'!G9</f>
        <v>256905748.80800003</v>
      </c>
      <c r="D31" s="44"/>
      <c r="E31" s="44"/>
      <c r="F31" s="44"/>
      <c r="G31" s="44"/>
      <c r="H31" s="44"/>
      <c r="I31" s="44"/>
    </row>
    <row r="32" spans="1:10" x14ac:dyDescent="0.2">
      <c r="A32" s="43" t="str">
        <f>LEFT('SC12'!A10,3)</f>
        <v>Nov</v>
      </c>
      <c r="B32" s="44">
        <f>'SC12'!F10</f>
        <v>381153474.47800004</v>
      </c>
      <c r="C32" s="46">
        <f>'SC12'!G10</f>
        <v>381153474.47800004</v>
      </c>
      <c r="D32" s="44"/>
      <c r="E32" s="44"/>
      <c r="F32" s="44"/>
      <c r="G32" s="44"/>
      <c r="H32" s="44"/>
      <c r="I32" s="44"/>
    </row>
    <row r="33" spans="1:9" x14ac:dyDescent="0.2">
      <c r="A33" s="43" t="str">
        <f>LEFT('SC12'!A11,3)</f>
        <v>Dec</v>
      </c>
      <c r="B33" s="44" t="str">
        <f>'SC12'!F11</f>
        <v/>
      </c>
      <c r="C33" s="46">
        <f>'SC12'!G11</f>
        <v>513021474.47800004</v>
      </c>
      <c r="D33" s="44"/>
      <c r="E33" s="44"/>
      <c r="F33" s="44"/>
      <c r="G33" s="44"/>
      <c r="H33" s="44"/>
      <c r="I33" s="44"/>
    </row>
    <row r="34" spans="1:9" x14ac:dyDescent="0.2">
      <c r="A34" s="43" t="str">
        <f>LEFT('SC12'!A12,3)</f>
        <v>Jan</v>
      </c>
      <c r="B34" s="44" t="str">
        <f>'SC12'!F12</f>
        <v/>
      </c>
      <c r="C34" s="46">
        <f>'SC12'!G12</f>
        <v>644959474.47800004</v>
      </c>
      <c r="D34" s="44"/>
      <c r="E34" s="44"/>
      <c r="F34" s="44"/>
      <c r="G34" s="44"/>
      <c r="H34" s="44"/>
      <c r="I34" s="44"/>
    </row>
    <row r="35" spans="1:9" x14ac:dyDescent="0.2">
      <c r="A35" s="43" t="str">
        <f>LEFT('SC12'!A13,3)</f>
        <v>Feb</v>
      </c>
      <c r="B35" s="44" t="str">
        <f>'SC12'!F13</f>
        <v/>
      </c>
      <c r="C35" s="46">
        <f>'SC12'!G13</f>
        <v>776897474.47800004</v>
      </c>
      <c r="D35" s="44"/>
      <c r="E35" s="44"/>
      <c r="F35" s="44"/>
      <c r="G35" s="44"/>
      <c r="H35" s="44"/>
      <c r="I35" s="44"/>
    </row>
    <row r="36" spans="1:9" x14ac:dyDescent="0.2">
      <c r="A36" s="43" t="str">
        <f>LEFT('SC12'!A14,3)</f>
        <v>Mar</v>
      </c>
      <c r="B36" s="44" t="str">
        <f>'SC12'!F14</f>
        <v/>
      </c>
      <c r="C36" s="46">
        <f>'SC12'!G14</f>
        <v>976179474.47800004</v>
      </c>
      <c r="D36" s="44"/>
      <c r="E36" s="44"/>
      <c r="F36" s="44"/>
      <c r="G36" s="44"/>
      <c r="H36" s="44"/>
      <c r="I36" s="44"/>
    </row>
    <row r="37" spans="1:9" x14ac:dyDescent="0.2">
      <c r="A37" s="43" t="str">
        <f>LEFT('SC12'!A15,3)</f>
        <v>Apr</v>
      </c>
      <c r="B37" s="44" t="str">
        <f>'SC12'!F15</f>
        <v/>
      </c>
      <c r="C37" s="46">
        <f>'SC12'!G15</f>
        <v>1203170474.4780002</v>
      </c>
      <c r="D37" s="44"/>
      <c r="E37" s="44"/>
      <c r="F37" s="44"/>
      <c r="G37" s="44"/>
      <c r="H37" s="44"/>
      <c r="I37" s="44"/>
    </row>
    <row r="38" spans="1:9" x14ac:dyDescent="0.2">
      <c r="A38" s="43" t="str">
        <f>LEFT('SC12'!A16,3)</f>
        <v>May</v>
      </c>
      <c r="B38" s="44" t="str">
        <f>'SC12'!F16</f>
        <v/>
      </c>
      <c r="C38" s="46">
        <f>'SC12'!G16</f>
        <v>1481978474.4780002</v>
      </c>
      <c r="D38" s="44"/>
      <c r="E38" s="44"/>
      <c r="F38" s="44"/>
      <c r="G38" s="44"/>
      <c r="H38" s="44"/>
      <c r="I38" s="44"/>
    </row>
    <row r="39" spans="1:9" x14ac:dyDescent="0.2">
      <c r="A39" s="92" t="str">
        <f>LEFT('SC12'!A17,3)</f>
        <v>Jun</v>
      </c>
      <c r="B39" s="359" t="str">
        <f>'SC12'!F17</f>
        <v/>
      </c>
      <c r="C39" s="360">
        <f>'SC12'!G17</f>
        <v>1830632112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2019/20</v>
      </c>
      <c r="B53" s="44">
        <f>'SC3'!C14</f>
        <v>153992483</v>
      </c>
      <c r="C53" s="44">
        <f>'SC3'!D14</f>
        <v>67359647</v>
      </c>
      <c r="D53" s="44">
        <f>'SC3'!E14</f>
        <v>60323221</v>
      </c>
      <c r="E53" s="44">
        <f>'SC3'!F14</f>
        <v>42621097</v>
      </c>
      <c r="F53" s="44">
        <f>'SC3'!G14</f>
        <v>38346834</v>
      </c>
      <c r="G53" s="44">
        <f>'SC3'!H14</f>
        <v>33392196</v>
      </c>
      <c r="H53" s="44">
        <f>'SC3'!I14</f>
        <v>85075134</v>
      </c>
      <c r="I53" s="44">
        <f>'SC3'!J14</f>
        <v>867830253</v>
      </c>
    </row>
    <row r="54" spans="1:9" x14ac:dyDescent="0.2">
      <c r="A54" s="62" t="str">
        <f>Head1</f>
        <v>2018/19</v>
      </c>
      <c r="B54" s="44">
        <f>'SC3'!C15</f>
        <v>9645963.2000000086</v>
      </c>
      <c r="C54" s="44">
        <f>'SC3'!D15</f>
        <v>41662674.379999995</v>
      </c>
      <c r="D54" s="44">
        <f>'SC3'!E15</f>
        <v>41242377.059999995</v>
      </c>
      <c r="E54" s="44">
        <f>'SC3'!F15</f>
        <v>28346868.859999999</v>
      </c>
      <c r="F54" s="44">
        <f>'SC3'!G15</f>
        <v>25969372.260000002</v>
      </c>
      <c r="G54" s="44">
        <f>'SC3'!H15</f>
        <v>81421303.189999998</v>
      </c>
      <c r="H54" s="44">
        <f>'SC3'!I15</f>
        <v>102369484.76000001</v>
      </c>
      <c r="I54" s="44">
        <f>'SC3'!J15</f>
        <v>658480918.98000002</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2018/19</v>
      </c>
      <c r="C77" s="62" t="str">
        <f>Head2</f>
        <v>Budget Year 2019/20</v>
      </c>
      <c r="D77" s="62"/>
      <c r="E77" s="62"/>
      <c r="F77" s="62"/>
      <c r="G77" s="62"/>
      <c r="H77" s="62"/>
      <c r="I77" s="62"/>
      <c r="J77" s="62"/>
    </row>
    <row r="78" spans="1:10" x14ac:dyDescent="0.2">
      <c r="A78" s="62" t="str">
        <f>'SC3'!A17</f>
        <v>Organs of State</v>
      </c>
      <c r="B78" s="44">
        <f>C78*0.97</f>
        <v>87036922.420000002</v>
      </c>
      <c r="C78" s="44">
        <f>'SC3'!K17</f>
        <v>89728786</v>
      </c>
      <c r="D78" s="44"/>
      <c r="E78" s="44"/>
      <c r="F78" s="44"/>
      <c r="G78" s="44"/>
      <c r="H78" s="44"/>
      <c r="I78" s="44"/>
      <c r="J78" s="44"/>
    </row>
    <row r="79" spans="1:10" x14ac:dyDescent="0.2">
      <c r="A79" s="62" t="str">
        <f>'SC3'!A18</f>
        <v>Commercial</v>
      </c>
      <c r="B79" s="44">
        <f>C79*0.97</f>
        <v>313768002.95999998</v>
      </c>
      <c r="C79" s="44">
        <f>'SC3'!K18</f>
        <v>323472168</v>
      </c>
      <c r="D79" s="44"/>
      <c r="E79" s="44"/>
      <c r="F79" s="44"/>
      <c r="G79" s="44"/>
      <c r="H79" s="44"/>
      <c r="I79" s="44"/>
      <c r="J79" s="44"/>
    </row>
    <row r="80" spans="1:10" x14ac:dyDescent="0.2">
      <c r="A80" s="62" t="str">
        <f>'SC3'!A19</f>
        <v>Households</v>
      </c>
      <c r="B80" s="44">
        <f>C80*0.97</f>
        <v>907667713.66999996</v>
      </c>
      <c r="C80" s="44">
        <f>'SC3'!K19</f>
        <v>935739911</v>
      </c>
    </row>
    <row r="81" spans="1:3" x14ac:dyDescent="0.2">
      <c r="A81" s="62" t="str">
        <f>'SC3'!A20</f>
        <v>Other</v>
      </c>
      <c r="B81" s="44">
        <f>C81*0.97</f>
        <v>0</v>
      </c>
      <c r="C81" s="44">
        <f>'SC3'!K20</f>
        <v>0</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2018/19</v>
      </c>
      <c r="B103" s="408">
        <f>'SC4'!L6</f>
        <v>56736770.289999999</v>
      </c>
      <c r="C103" s="408">
        <f>'SC4'!L7</f>
        <v>16830241.239999998</v>
      </c>
      <c r="D103" s="408">
        <f>'SC4'!L8</f>
        <v>0</v>
      </c>
      <c r="E103" s="408">
        <f>'SC4'!L9</f>
        <v>0</v>
      </c>
      <c r="F103" s="408">
        <f>'SC4'!L10</f>
        <v>0</v>
      </c>
      <c r="G103" s="408">
        <f>'SC4'!L11</f>
        <v>0</v>
      </c>
      <c r="H103" s="408">
        <f>'SC4'!L12</f>
        <v>80651537.549999997</v>
      </c>
      <c r="I103" s="408">
        <f>'SC4'!L13</f>
        <v>0</v>
      </c>
      <c r="J103" s="408">
        <f>'SC4'!L14</f>
        <v>0</v>
      </c>
    </row>
    <row r="104" spans="1:10" x14ac:dyDescent="0.2">
      <c r="A104" s="62" t="str">
        <f>A53</f>
        <v>Budget Year 2019/20</v>
      </c>
      <c r="B104" s="44">
        <f>'SC4'!K6</f>
        <v>63699731.789999999</v>
      </c>
      <c r="C104" s="44">
        <f>'SC4'!K7</f>
        <v>32368717.609999999</v>
      </c>
      <c r="D104" s="44">
        <f>'SC4'!K8</f>
        <v>0</v>
      </c>
      <c r="E104" s="44">
        <f>'SC4'!K9</f>
        <v>0</v>
      </c>
      <c r="F104" s="44">
        <f>'SC4'!K10</f>
        <v>0</v>
      </c>
      <c r="G104" s="44">
        <f>'SC4'!K11</f>
        <v>0</v>
      </c>
      <c r="H104" s="44">
        <f>'SC4'!K12</f>
        <v>101926763.86999997</v>
      </c>
      <c r="I104" s="44">
        <f>'SC4'!K13</f>
        <v>0</v>
      </c>
      <c r="J104" s="44">
        <f>'SC4'!K14</f>
        <v>0</v>
      </c>
    </row>
    <row r="106" spans="1:10" ht="12" customHeight="1" x14ac:dyDescent="0.2">
      <c r="A106" s="62"/>
      <c r="B106" s="44"/>
      <c r="C106" s="44"/>
    </row>
  </sheetData>
  <sheetProtection selectLockedCells="1" selectUnlockedCells="1"/>
  <phoneticPr fontId="9"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2.xml><?xml version="1.0" encoding="utf-8"?>
<ds:datastoreItem xmlns:ds="http://schemas.openxmlformats.org/officeDocument/2006/customXml" ds:itemID="{7AFB5407-905C-4A55-86D9-F8F24F173B67}">
  <ds:schemaRefs>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schemas.microsoft.com/sharepoint/v3"/>
    <ds:schemaRef ds:uri="http://schemas.microsoft.com/office/infopath/2007/PartnerControls"/>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4.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Moleboheng Mathebula</dc:creator>
  <cp:lastModifiedBy>Zinzi Mphahlele</cp:lastModifiedBy>
  <cp:lastPrinted>2019-01-11T06:16:54Z</cp:lastPrinted>
  <dcterms:created xsi:type="dcterms:W3CDTF">2004-04-07T16:19:08Z</dcterms:created>
  <dcterms:modified xsi:type="dcterms:W3CDTF">2020-01-24T13:38:17Z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